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updateLinks="never" codeName="EstaPasta_de_trabalho" defaultThemeVersion="124226"/>
  <mc:AlternateContent xmlns:mc="http://schemas.openxmlformats.org/markup-compatibility/2006">
    <mc:Choice Requires="x15">
      <x15ac:absPath xmlns:x15ac="http://schemas.microsoft.com/office/spreadsheetml/2010/11/ac" url="C:\Users\Samsung\OneDrive\Área de Trabalho\"/>
    </mc:Choice>
  </mc:AlternateContent>
  <xr:revisionPtr revIDLastSave="0" documentId="13_ncr:1_{D67B5FD9-5C3E-4C9D-81E6-E980BBB606F1}" xr6:coauthVersionLast="47" xr6:coauthVersionMax="47" xr10:uidLastSave="{00000000-0000-0000-0000-000000000000}"/>
  <bookViews>
    <workbookView xWindow="-110" yWindow="-110" windowWidth="19420" windowHeight="10300" tabRatio="996" xr2:uid="{00000000-000D-0000-FFFF-FFFF00000000}"/>
  </bookViews>
  <sheets>
    <sheet name="0F Lj" sheetId="62" r:id="rId1"/>
    <sheet name="1FComprador" sheetId="30" r:id="rId2"/>
    <sheet name="2F Técnica" sheetId="31" r:id="rId3"/>
    <sheet name="3Orçto" sheetId="1" r:id="rId4"/>
    <sheet name="3.1Impressão" sheetId="63" r:id="rId5"/>
    <sheet name="4Contrato Compra" sheetId="26" r:id="rId6"/>
    <sheet name="5CERTIFICADO" sheetId="27" r:id="rId7"/>
    <sheet name="6Manutençao Garantia" sheetId="34" r:id="rId8"/>
    <sheet name="7Mapa Orçamento" sheetId="23" r:id="rId9"/>
    <sheet name="14 Pers." sheetId="54" state="hidden" r:id="rId10"/>
    <sheet name="8Resumo Venda" sheetId="43" r:id="rId11"/>
    <sheet name="9PG Projetista" sheetId="44" r:id="rId12"/>
    <sheet name="10Ficha montagem" sheetId="45" r:id="rId13"/>
    <sheet name="11PG Montador" sheetId="46" r:id="rId14"/>
    <sheet name="12 Controle Pedidos " sheetId="64" r:id="rId15"/>
    <sheet name="13 E-mail Compra Fabrica" sheetId="65" r:id="rId16"/>
    <sheet name="14 E-mail Transportadora" sheetId="66" r:id="rId17"/>
    <sheet name="15 Caixa Mês" sheetId="67" r:id="rId18"/>
    <sheet name="16 Caixa Ano" sheetId="68" r:id="rId19"/>
    <sheet name="17 Resumo do Sistema" sheetId="69" r:id="rId20"/>
    <sheet name="Listas" sheetId="41" state="hidden" r:id="rId21"/>
    <sheet name="Losango 30" sheetId="55" state="hidden" r:id="rId22"/>
    <sheet name="Losango 60" sheetId="56" state="hidden" r:id="rId23"/>
    <sheet name="Losango 90" sheetId="57" state="hidden"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xlnm.Print_Area" localSheetId="1">'1FComprador'!$B$2:$L$64</definedName>
    <definedName name="_xlnm.Print_Area" localSheetId="2">'2F Técnica'!$B$2:$J$57</definedName>
    <definedName name="_xlnm.Print_Area" localSheetId="4">'3.1Impressão'!$B$2:$L$65</definedName>
    <definedName name="_xlnm.Print_Area" localSheetId="5">'4Contrato Compra'!$B$2:$L$459</definedName>
    <definedName name="_xlnm.Print_Area" localSheetId="7">'6Manutençao Garantia'!$B$2:$L$126</definedName>
    <definedName name="Bairro" localSheetId="0">'0F Lj'!#REF!</definedName>
    <definedName name="Bairro" localSheetId="14">#REF!</definedName>
    <definedName name="Bairro" localSheetId="15">#REF!</definedName>
    <definedName name="Bairro" localSheetId="16">#REF!</definedName>
    <definedName name="Bairro" localSheetId="17">#REF!</definedName>
    <definedName name="Bairro" localSheetId="18">#REF!</definedName>
    <definedName name="Bairro" localSheetId="19">#REF!</definedName>
    <definedName name="Bairro" localSheetId="4">#REF!</definedName>
    <definedName name="Bairro">#REF!</definedName>
    <definedName name="bairro2" localSheetId="0">#REF!</definedName>
    <definedName name="bairro2" localSheetId="12">#REF!</definedName>
    <definedName name="bairro2" localSheetId="13">#REF!</definedName>
    <definedName name="bairro2" localSheetId="14">#REF!</definedName>
    <definedName name="bairro2" localSheetId="15">#REF!</definedName>
    <definedName name="bairro2" localSheetId="16">#REF!</definedName>
    <definedName name="bairro2" localSheetId="17">'[1]1F Cliente'!#REF!</definedName>
    <definedName name="bairro2" localSheetId="18">'[1]1F Cliente'!#REF!</definedName>
    <definedName name="bairro2" localSheetId="19">#REF!</definedName>
    <definedName name="bairro2" localSheetId="4">#REF!</definedName>
    <definedName name="bairro2" localSheetId="10">#REF!</definedName>
    <definedName name="bairro2" localSheetId="11">#REF!</definedName>
    <definedName name="bairro2">#REF!</definedName>
    <definedName name="chave" localSheetId="0">#REF!</definedName>
    <definedName name="chave" localSheetId="12">#REF!</definedName>
    <definedName name="chave" localSheetId="14">#REF!</definedName>
    <definedName name="chave" localSheetId="15">#REF!</definedName>
    <definedName name="chave" localSheetId="16">#REF!</definedName>
    <definedName name="chave" localSheetId="17">#REF!</definedName>
    <definedName name="chave" localSheetId="18">#REF!</definedName>
    <definedName name="chave" localSheetId="19">#REF!</definedName>
    <definedName name="chave" localSheetId="10">#REF!</definedName>
    <definedName name="chave" localSheetId="11">#REF!</definedName>
    <definedName name="chave">'[2]Losango 30'!$O$100</definedName>
    <definedName name="ciadade" localSheetId="0">'0F Lj'!#REF!</definedName>
    <definedName name="ciadade" localSheetId="12">#REF!</definedName>
    <definedName name="ciadade" localSheetId="13">#REF!</definedName>
    <definedName name="ciadade" localSheetId="14">#REF!</definedName>
    <definedName name="ciadade" localSheetId="15">#REF!</definedName>
    <definedName name="ciadade" localSheetId="16">#REF!</definedName>
    <definedName name="ciadade" localSheetId="17">'[1]1F Cliente'!$G$19</definedName>
    <definedName name="ciadade" localSheetId="18">'[1]1F Cliente'!$G$19</definedName>
    <definedName name="ciadade" localSheetId="19">#REF!</definedName>
    <definedName name="ciadade" localSheetId="4">'3.1Impressão'!#REF!</definedName>
    <definedName name="ciadade" localSheetId="10">#REF!</definedName>
    <definedName name="ciadade" localSheetId="11">#REF!</definedName>
    <definedName name="ciadade">'1FComprador'!#REF!</definedName>
    <definedName name="Cidade" localSheetId="0">#REF!</definedName>
    <definedName name="Cidade" localSheetId="12">#REF!</definedName>
    <definedName name="Cidade" localSheetId="14">#REF!</definedName>
    <definedName name="Cidade" localSheetId="15">#REF!</definedName>
    <definedName name="Cidade" localSheetId="16">#REF!</definedName>
    <definedName name="Cidade" localSheetId="17">#REF!</definedName>
    <definedName name="Cidade" localSheetId="18">#REF!</definedName>
    <definedName name="Cidade" localSheetId="19">#REF!</definedName>
    <definedName name="Cidade" localSheetId="4">'3.1Impressão'!#REF!</definedName>
    <definedName name="Cidade" localSheetId="10">#REF!</definedName>
    <definedName name="Cidade" localSheetId="11">#REF!</definedName>
    <definedName name="Cidade">'1FComprador'!#REF!</definedName>
    <definedName name="cidade1" localSheetId="0">#REF!</definedName>
    <definedName name="cidade1" localSheetId="12">#REF!</definedName>
    <definedName name="cidade1" localSheetId="14">#REF!</definedName>
    <definedName name="cidade1" localSheetId="15">#REF!</definedName>
    <definedName name="cidade1" localSheetId="16">#REF!</definedName>
    <definedName name="cidade1" localSheetId="17">#REF!</definedName>
    <definedName name="cidade1" localSheetId="18">#REF!</definedName>
    <definedName name="cidade1" localSheetId="19">#REF!</definedName>
    <definedName name="cidade1" localSheetId="4">'3.1Impressão'!#REF!</definedName>
    <definedName name="cidade1" localSheetId="10">#REF!</definedName>
    <definedName name="cidade1" localSheetId="11">#REF!</definedName>
    <definedName name="cidade1">'1FComprador'!#REF!</definedName>
    <definedName name="cidade4" localSheetId="0">#REF!</definedName>
    <definedName name="cidade4" localSheetId="12">#REF!</definedName>
    <definedName name="cidade4" localSheetId="13">#REF!</definedName>
    <definedName name="cidade4" localSheetId="14">#REF!</definedName>
    <definedName name="cidade4" localSheetId="15">#REF!</definedName>
    <definedName name="cidade4" localSheetId="16">#REF!</definedName>
    <definedName name="cidade4" localSheetId="17">'[1]1F Cliente'!$G$25</definedName>
    <definedName name="cidade4" localSheetId="18">'[1]1F Cliente'!$G$25</definedName>
    <definedName name="cidade4" localSheetId="19">#REF!</definedName>
    <definedName name="cidade4" localSheetId="4">'3.1Impressão'!#REF!</definedName>
    <definedName name="cidade4" localSheetId="10">#REF!</definedName>
    <definedName name="cidade4" localSheetId="11">#REF!</definedName>
    <definedName name="cidade4">'1FComprador'!#REF!</definedName>
    <definedName name="Cnpj" localSheetId="0">#REF!</definedName>
    <definedName name="Cnpj" localSheetId="12">#REF!</definedName>
    <definedName name="Cnpj" localSheetId="13">#REF!</definedName>
    <definedName name="Cnpj" localSheetId="14">#REF!</definedName>
    <definedName name="Cnpj" localSheetId="15">#REF!</definedName>
    <definedName name="Cnpj" localSheetId="16">#REF!</definedName>
    <definedName name="Cnpj" localSheetId="17">#REF!</definedName>
    <definedName name="Cnpj" localSheetId="18">#REF!</definedName>
    <definedName name="Cnpj" localSheetId="19">#REF!</definedName>
    <definedName name="Cnpj" localSheetId="4">#REF!</definedName>
    <definedName name="Cnpj" localSheetId="10">#REF!</definedName>
    <definedName name="Cnpj" localSheetId="11">#REF!</definedName>
    <definedName name="Cnpj">#REF!</definedName>
    <definedName name="cnpj1" localSheetId="0">#REF!</definedName>
    <definedName name="cnpj1" localSheetId="4">#REF!</definedName>
    <definedName name="cnpj1">#REF!</definedName>
    <definedName name="consultor" localSheetId="0">#REF!</definedName>
    <definedName name="consultor" localSheetId="12">#REF!</definedName>
    <definedName name="consultor" localSheetId="13">#REF!</definedName>
    <definedName name="consultor" localSheetId="14">#REF!</definedName>
    <definedName name="consultor" localSheetId="15">#REF!</definedName>
    <definedName name="consultor" localSheetId="16">#REF!</definedName>
    <definedName name="consultor" localSheetId="17">'[1]14 Pers.'!$A$12:$A$19</definedName>
    <definedName name="consultor" localSheetId="18">'[1]14 Pers.'!$A$12:$A$19</definedName>
    <definedName name="consultor" localSheetId="19">#REF!</definedName>
    <definedName name="consultor" localSheetId="10">#REF!</definedName>
    <definedName name="consultor" localSheetId="11">#REF!</definedName>
    <definedName name="consultor">'14 Pers.'!$A$12:$A$19</definedName>
    <definedName name="Consumidor" localSheetId="0">#REF!</definedName>
    <definedName name="Consumidor" localSheetId="12">#REF!</definedName>
    <definedName name="Consumidor" localSheetId="13">#REF!</definedName>
    <definedName name="Consumidor" localSheetId="14">#REF!</definedName>
    <definedName name="Consumidor" localSheetId="15">#REF!</definedName>
    <definedName name="Consumidor" localSheetId="16">#REF!</definedName>
    <definedName name="Consumidor" localSheetId="17">#REF!</definedName>
    <definedName name="Consumidor" localSheetId="18">#REF!</definedName>
    <definedName name="Consumidor" localSheetId="19">#REF!</definedName>
    <definedName name="Consumidor" localSheetId="1">'1FComprador'!#REF!</definedName>
    <definedName name="Consumidor" localSheetId="4">'3.1Impressão'!#REF!</definedName>
    <definedName name="Consumidor" localSheetId="10">#REF!</definedName>
    <definedName name="Consumidor" localSheetId="11">#REF!</definedName>
    <definedName name="Consumidor">#REF!</definedName>
    <definedName name="Consumidor1" localSheetId="0">#REF!</definedName>
    <definedName name="Consumidor1" localSheetId="12">#REF!</definedName>
    <definedName name="Consumidor1" localSheetId="13">#REF!</definedName>
    <definedName name="Consumidor1" localSheetId="14">#REF!</definedName>
    <definedName name="Consumidor1" localSheetId="15">#REF!</definedName>
    <definedName name="Consumidor1" localSheetId="16">#REF!</definedName>
    <definedName name="Consumidor1" localSheetId="17">'[1]1F Cliente'!$D$12</definedName>
    <definedName name="Consumidor1" localSheetId="18">'[1]1F Cliente'!$D$12</definedName>
    <definedName name="Consumidor1" localSheetId="19">#REF!</definedName>
    <definedName name="Consumidor1" localSheetId="4">'3.1Impressão'!#REF!</definedName>
    <definedName name="Consumidor1" localSheetId="10">#REF!</definedName>
    <definedName name="Consumidor1" localSheetId="11">#REF!</definedName>
    <definedName name="Consumidor1">'1FComprador'!#REF!</definedName>
    <definedName name="Consumidor2" localSheetId="0">#REF!</definedName>
    <definedName name="Consumidor2" localSheetId="12">#REF!</definedName>
    <definedName name="Consumidor2" localSheetId="14">#REF!</definedName>
    <definedName name="Consumidor2" localSheetId="15">#REF!</definedName>
    <definedName name="Consumidor2" localSheetId="16">#REF!</definedName>
    <definedName name="Consumidor2" localSheetId="17">#REF!</definedName>
    <definedName name="Consumidor2" localSheetId="18">#REF!</definedName>
    <definedName name="Consumidor2" localSheetId="19">#REF!</definedName>
    <definedName name="Consumidor2" localSheetId="4">'3.1Impressão'!#REF!</definedName>
    <definedName name="Consumidor2" localSheetId="10">#REF!</definedName>
    <definedName name="Consumidor2" localSheetId="11">#REF!</definedName>
    <definedName name="Consumidor2">'1FComprador'!#REF!</definedName>
    <definedName name="Contrato" localSheetId="0">#REF!</definedName>
    <definedName name="Contrato" localSheetId="14">#REF!</definedName>
    <definedName name="Contrato" localSheetId="15">#REF!</definedName>
    <definedName name="Contrato" localSheetId="16">#REF!</definedName>
    <definedName name="Contrato" localSheetId="17">#REF!</definedName>
    <definedName name="Contrato" localSheetId="18">#REF!</definedName>
    <definedName name="Contrato" localSheetId="19">#REF!</definedName>
    <definedName name="Contrato" localSheetId="1">'1FComprador'!$L$4</definedName>
    <definedName name="Contrato" localSheetId="4">'3.1Impressão'!$L$4</definedName>
    <definedName name="Contrato">#REF!</definedName>
    <definedName name="CpfCnpjConsumidor" localSheetId="0">#REF!</definedName>
    <definedName name="CpfCnpjConsumidor" localSheetId="14">#REF!</definedName>
    <definedName name="CpfCnpjConsumidor" localSheetId="15">#REF!</definedName>
    <definedName name="CpfCnpjConsumidor" localSheetId="16">#REF!</definedName>
    <definedName name="CpfCnpjConsumidor" localSheetId="17">'[1]4Contrato'!$B$14</definedName>
    <definedName name="CpfCnpjConsumidor" localSheetId="18">'[1]4Contrato'!$B$14</definedName>
    <definedName name="CpfCnpjConsumidor" localSheetId="19">#REF!</definedName>
    <definedName name="CpfCnpjConsumidor" localSheetId="1">'1FComprador'!#REF!</definedName>
    <definedName name="CpfCnpjConsumidor" localSheetId="4">'3.1Impressão'!#REF!</definedName>
    <definedName name="CpfCnpjConsumidor">#REF!</definedName>
    <definedName name="datacontrato" localSheetId="0">#REF!</definedName>
    <definedName name="datacontrato" localSheetId="12">#REF!</definedName>
    <definedName name="datacontrato" localSheetId="13">#REF!</definedName>
    <definedName name="datacontrato" localSheetId="14">#REF!</definedName>
    <definedName name="datacontrato" localSheetId="15">#REF!</definedName>
    <definedName name="datacontrato" localSheetId="16">#REF!</definedName>
    <definedName name="datacontrato" localSheetId="17">'[1]4Contrato'!$K$6</definedName>
    <definedName name="datacontrato" localSheetId="18">'[1]4Contrato'!$K$6</definedName>
    <definedName name="datacontrato" localSheetId="19">#REF!</definedName>
    <definedName name="datacontrato" localSheetId="1">'1FComprador'!#REF!</definedName>
    <definedName name="datacontrato" localSheetId="4">'3.1Impressão'!#REF!</definedName>
    <definedName name="datacontrato" localSheetId="10">#REF!</definedName>
    <definedName name="datacontrato" localSheetId="11">#REF!</definedName>
    <definedName name="datacontrato">'4Contrato Compra'!$K$7</definedName>
    <definedName name="DataOrçamento" localSheetId="0">'[3]3Orçto'!$P$4</definedName>
    <definedName name="DataOrçamento" localSheetId="12">'3Orçto'!$P$4</definedName>
    <definedName name="DataOrçamento" localSheetId="13">'3Orçto'!$P$4</definedName>
    <definedName name="DataOrçamento" localSheetId="14">#REF!</definedName>
    <definedName name="DataOrçamento" localSheetId="15">#REF!</definedName>
    <definedName name="DataOrçamento" localSheetId="16">#REF!</definedName>
    <definedName name="DataOrçamento" localSheetId="17">'[1]3Orçto'!$P$4</definedName>
    <definedName name="DataOrçamento" localSheetId="18">'[1]3Orçto'!$P$4</definedName>
    <definedName name="DataOrçamento" localSheetId="19">#REF!</definedName>
    <definedName name="DataOrçamento" localSheetId="10">'3Orçto'!$P$4</definedName>
    <definedName name="DataOrçamento" localSheetId="11">'3Orçto'!$P$4</definedName>
    <definedName name="DataOrçamento">'3Orçto'!$P$4</definedName>
    <definedName name="deconto2" localSheetId="0">'[3]3Orçto'!$P$7</definedName>
    <definedName name="deconto2" localSheetId="12">'3Orçto'!$P$7</definedName>
    <definedName name="deconto2" localSheetId="13">'3Orçto'!$P$7</definedName>
    <definedName name="deconto2" localSheetId="14">#REF!</definedName>
    <definedName name="deconto2" localSheetId="15">#REF!</definedName>
    <definedName name="deconto2" localSheetId="16">#REF!</definedName>
    <definedName name="deconto2" localSheetId="17">'[1]3Orçto'!$P$7</definedName>
    <definedName name="deconto2" localSheetId="18">'[1]3Orçto'!$P$7</definedName>
    <definedName name="deconto2" localSheetId="19">#REF!</definedName>
    <definedName name="deconto2" localSheetId="10">'3Orçto'!$P$7</definedName>
    <definedName name="deconto2" localSheetId="11">'3Orçto'!$P$7</definedName>
    <definedName name="deconto2">'3Orçto'!$P$7</definedName>
    <definedName name="descadm" localSheetId="0">#REF!</definedName>
    <definedName name="descadm" localSheetId="12">#REF!</definedName>
    <definedName name="descadm" localSheetId="13">#REF!</definedName>
    <definedName name="descadm" localSheetId="14">#REF!</definedName>
    <definedName name="descadm" localSheetId="15">#REF!</definedName>
    <definedName name="descadm" localSheetId="16">#REF!</definedName>
    <definedName name="descadm" localSheetId="17">'[1]14 Pers.'!$M$12:$M$17</definedName>
    <definedName name="descadm" localSheetId="18">'[1]14 Pers.'!$M$12:$M$17</definedName>
    <definedName name="descadm" localSheetId="19">#REF!</definedName>
    <definedName name="descadm" localSheetId="10">#REF!</definedName>
    <definedName name="descadm" localSheetId="11">#REF!</definedName>
    <definedName name="descadm">'14 Pers.'!$M$12:$M$17</definedName>
    <definedName name="desconto1" localSheetId="0">'[3]3Orçto'!$L$7</definedName>
    <definedName name="desconto1" localSheetId="12">'3Orçto'!$L$7</definedName>
    <definedName name="desconto1" localSheetId="13">'3Orçto'!$L$7</definedName>
    <definedName name="desconto1" localSheetId="14">#REF!</definedName>
    <definedName name="desconto1" localSheetId="15">#REF!</definedName>
    <definedName name="desconto1" localSheetId="16">#REF!</definedName>
    <definedName name="desconto1" localSheetId="17">'[1]3Orçto'!$L$7</definedName>
    <definedName name="desconto1" localSheetId="18">'[1]3Orçto'!$L$7</definedName>
    <definedName name="desconto1" localSheetId="19">#REF!</definedName>
    <definedName name="desconto1" localSheetId="10">'3Orçto'!$L$7</definedName>
    <definedName name="desconto1" localSheetId="11">'3Orçto'!$L$7</definedName>
    <definedName name="desconto1">'3Orçto'!$L$7</definedName>
    <definedName name="desconto2" localSheetId="0">#REF!</definedName>
    <definedName name="desconto2" localSheetId="12">#REF!</definedName>
    <definedName name="desconto2" localSheetId="14">#REF!</definedName>
    <definedName name="desconto2" localSheetId="15">#REF!</definedName>
    <definedName name="desconto2" localSheetId="16">#REF!</definedName>
    <definedName name="desconto2" localSheetId="17">#REF!</definedName>
    <definedName name="desconto2" localSheetId="18">#REF!</definedName>
    <definedName name="desconto2" localSheetId="19">#REF!</definedName>
    <definedName name="desconto2" localSheetId="10">#REF!</definedName>
    <definedName name="desconto2" localSheetId="11">#REF!</definedName>
    <definedName name="desconto2">'3Orçto'!$P$7</definedName>
    <definedName name="descvenda" localSheetId="0">#REF!</definedName>
    <definedName name="descvenda" localSheetId="12">#REF!</definedName>
    <definedName name="descvenda" localSheetId="13">#REF!</definedName>
    <definedName name="descvenda" localSheetId="14">#REF!</definedName>
    <definedName name="descvenda" localSheetId="15">#REF!</definedName>
    <definedName name="descvenda" localSheetId="16">#REF!</definedName>
    <definedName name="descvenda" localSheetId="17">#REF!</definedName>
    <definedName name="descvenda" localSheetId="18">#REF!</definedName>
    <definedName name="descvenda" localSheetId="19">#REF!</definedName>
    <definedName name="descvenda" localSheetId="10">#REF!</definedName>
    <definedName name="descvenda" localSheetId="11">#REF!</definedName>
    <definedName name="descvenda">'14 Pers.'!$K$25:$K$31</definedName>
    <definedName name="EmailLoja" localSheetId="0">#REF!</definedName>
    <definedName name="EmailLoja" localSheetId="12">#REF!</definedName>
    <definedName name="EmailLoja" localSheetId="13">#REF!</definedName>
    <definedName name="EmailLoja" localSheetId="14">#REF!</definedName>
    <definedName name="EmailLoja" localSheetId="15">#REF!</definedName>
    <definedName name="EmailLoja" localSheetId="16">#REF!</definedName>
    <definedName name="EmailLoja" localSheetId="17">#REF!</definedName>
    <definedName name="EmailLoja" localSheetId="18">#REF!</definedName>
    <definedName name="EmailLoja" localSheetId="19">#REF!</definedName>
    <definedName name="EmailLoja" localSheetId="4">#REF!</definedName>
    <definedName name="EmailLoja" localSheetId="10">#REF!</definedName>
    <definedName name="EmailLoja" localSheetId="11">#REF!</definedName>
    <definedName name="EmailLoja">#REF!</definedName>
    <definedName name="enderecoatual1" localSheetId="0">#REF!</definedName>
    <definedName name="enderecoatual1" localSheetId="12">#REF!</definedName>
    <definedName name="enderecoatual1" localSheetId="13">#REF!</definedName>
    <definedName name="enderecoatual1" localSheetId="14">#REF!</definedName>
    <definedName name="enderecoatual1" localSheetId="15">#REF!</definedName>
    <definedName name="enderecoatual1" localSheetId="16">#REF!</definedName>
    <definedName name="enderecoatual1" localSheetId="17">'[1]1F Cliente'!$E$16</definedName>
    <definedName name="enderecoatual1" localSheetId="18">'[1]1F Cliente'!$E$16</definedName>
    <definedName name="enderecoatual1" localSheetId="19">#REF!</definedName>
    <definedName name="enderecoatual1" localSheetId="4">#REF!</definedName>
    <definedName name="enderecoatual1" localSheetId="10">#REF!</definedName>
    <definedName name="enderecoatual1" localSheetId="11">#REF!</definedName>
    <definedName name="enderecoatual1">#REF!</definedName>
    <definedName name="enderecoatual2" localSheetId="0">#REF!</definedName>
    <definedName name="enderecoatual2" localSheetId="12">#REF!</definedName>
    <definedName name="enderecoatual2" localSheetId="13">#REF!</definedName>
    <definedName name="enderecoatual2" localSheetId="14">#REF!</definedName>
    <definedName name="enderecoatual2" localSheetId="15">#REF!</definedName>
    <definedName name="enderecoatual2" localSheetId="16">#REF!</definedName>
    <definedName name="enderecoatual2" localSheetId="17">'[1]1F Cliente'!$B$17</definedName>
    <definedName name="enderecoatual2" localSheetId="18">'[1]1F Cliente'!$B$17</definedName>
    <definedName name="enderecoatual2" localSheetId="19">#REF!</definedName>
    <definedName name="enderecoatual2" localSheetId="4">#REF!</definedName>
    <definedName name="enderecoatual2" localSheetId="10">#REF!</definedName>
    <definedName name="enderecoatual2" localSheetId="11">#REF!</definedName>
    <definedName name="enderecoatual2">#REF!</definedName>
    <definedName name="EnderecoCompleto" localSheetId="0">#REF!</definedName>
    <definedName name="EnderecoCompleto" localSheetId="12">#REF!</definedName>
    <definedName name="EnderecoCompleto" localSheetId="13">#REF!</definedName>
    <definedName name="EnderecoCompleto" localSheetId="14">#REF!</definedName>
    <definedName name="EnderecoCompleto" localSheetId="15">#REF!</definedName>
    <definedName name="EnderecoCompleto" localSheetId="16">#REF!</definedName>
    <definedName name="EnderecoCompleto" localSheetId="17">#REF!</definedName>
    <definedName name="EnderecoCompleto" localSheetId="18">#REF!</definedName>
    <definedName name="EnderecoCompleto" localSheetId="19">#REF!</definedName>
    <definedName name="EnderecoCompleto" localSheetId="4">#REF!</definedName>
    <definedName name="EnderecoCompleto" localSheetId="10">#REF!</definedName>
    <definedName name="EnderecoCompleto" localSheetId="11">#REF!</definedName>
    <definedName name="EnderecoCompleto">#REF!</definedName>
    <definedName name="entrega2" localSheetId="0">#REF!</definedName>
    <definedName name="entrega2" localSheetId="12">#REF!</definedName>
    <definedName name="entrega2" localSheetId="14">#REF!</definedName>
    <definedName name="entrega2" localSheetId="15">#REF!</definedName>
    <definedName name="entrega2" localSheetId="16">#REF!</definedName>
    <definedName name="entrega2" localSheetId="17">#REF!</definedName>
    <definedName name="entrega2" localSheetId="18">#REF!</definedName>
    <definedName name="entrega2" localSheetId="19">#REF!</definedName>
    <definedName name="entrega2" localSheetId="4">'3.1Impressão'!$B$23</definedName>
    <definedName name="entrega2" localSheetId="10">#REF!</definedName>
    <definedName name="entrega2" localSheetId="11">#REF!</definedName>
    <definedName name="entrega2">'1FComprador'!$B$23</definedName>
    <definedName name="fabricante" localSheetId="0">#REF!</definedName>
    <definedName name="fabricante" localSheetId="12">#REF!</definedName>
    <definedName name="fabricante" localSheetId="13">#REF!</definedName>
    <definedName name="fabricante" localSheetId="14">#REF!</definedName>
    <definedName name="fabricante" localSheetId="15">#REF!</definedName>
    <definedName name="fabricante" localSheetId="16">#REF!</definedName>
    <definedName name="fabricante" localSheetId="17">#REF!</definedName>
    <definedName name="fabricante" localSheetId="18">#REF!</definedName>
    <definedName name="fabricante" localSheetId="19">#REF!</definedName>
    <definedName name="fabricante" localSheetId="10">#REF!</definedName>
    <definedName name="fabricante" localSheetId="11">#REF!</definedName>
    <definedName name="fabricante">'14 Pers.'!$E$35:$F$49</definedName>
    <definedName name="fator" localSheetId="0">#REF!</definedName>
    <definedName name="fator" localSheetId="12">#REF!</definedName>
    <definedName name="Fator" localSheetId="13">#REF!</definedName>
    <definedName name="fator" localSheetId="14">#REF!</definedName>
    <definedName name="fator" localSheetId="15">#REF!</definedName>
    <definedName name="fator" localSheetId="16">#REF!</definedName>
    <definedName name="Fator" localSheetId="17">#REF!</definedName>
    <definedName name="fator" localSheetId="18">'[1]Losango 30'!$O$103</definedName>
    <definedName name="fator" localSheetId="19">#REF!</definedName>
    <definedName name="fator" localSheetId="10">#REF!</definedName>
    <definedName name="fator" localSheetId="11">#REF!</definedName>
    <definedName name="fator" localSheetId="21">'Losango 30'!$O$103</definedName>
    <definedName name="fator" localSheetId="22">'Losango 30'!$O$103</definedName>
    <definedName name="fator" localSheetId="23">'Losango 30'!$O$103</definedName>
    <definedName name="fator">'[2]Losango 30'!$O$103</definedName>
    <definedName name="garantia" localSheetId="0">#REF!</definedName>
    <definedName name="garantia" localSheetId="12">#REF!</definedName>
    <definedName name="garantia" localSheetId="13">#REF!</definedName>
    <definedName name="garantia" localSheetId="14">#REF!</definedName>
    <definedName name="garantia" localSheetId="15">#REF!</definedName>
    <definedName name="garantia" localSheetId="16">#REF!</definedName>
    <definedName name="garantia" localSheetId="17">#REF!</definedName>
    <definedName name="garantia" localSheetId="18">#REF!</definedName>
    <definedName name="garantia" localSheetId="19">#REF!</definedName>
    <definedName name="garantia" localSheetId="10">#REF!</definedName>
    <definedName name="garantia" localSheetId="11">#REF!</definedName>
    <definedName name="garantia">'14 Pers.'!$I$4</definedName>
    <definedName name="idcartao">'3Orçto'!$I$1</definedName>
    <definedName name="IE" localSheetId="0">#REF!</definedName>
    <definedName name="IE" localSheetId="12">#REF!</definedName>
    <definedName name="IE" localSheetId="13">#REF!</definedName>
    <definedName name="IE" localSheetId="14">#REF!</definedName>
    <definedName name="IE" localSheetId="15">#REF!</definedName>
    <definedName name="IE" localSheetId="16">#REF!</definedName>
    <definedName name="IE" localSheetId="17">#REF!</definedName>
    <definedName name="IE" localSheetId="18">#REF!</definedName>
    <definedName name="IE" localSheetId="19">#REF!</definedName>
    <definedName name="IE" localSheetId="4">#REF!</definedName>
    <definedName name="IE" localSheetId="10">#REF!</definedName>
    <definedName name="IE" localSheetId="11">#REF!</definedName>
    <definedName name="IE">#REF!</definedName>
    <definedName name="Loja" localSheetId="0">#REF!</definedName>
    <definedName name="Loja" localSheetId="14">#REF!</definedName>
    <definedName name="Loja" localSheetId="15">#REF!</definedName>
    <definedName name="Loja" localSheetId="16">#REF!</definedName>
    <definedName name="Loja" localSheetId="17">#REF!</definedName>
    <definedName name="Loja" localSheetId="18">#REF!</definedName>
    <definedName name="Loja" localSheetId="19">#REF!</definedName>
    <definedName name="Loja" localSheetId="1">'1FComprador'!$K$9</definedName>
    <definedName name="Loja" localSheetId="4">'3.1Impressão'!$K$9</definedName>
    <definedName name="Loja">#REF!</definedName>
    <definedName name="mercadorias" localSheetId="0">#REF!</definedName>
    <definedName name="mercadorias" localSheetId="12">#REF!</definedName>
    <definedName name="mercadorias" localSheetId="13">#REF!</definedName>
    <definedName name="mercadorias" localSheetId="14">#REF!</definedName>
    <definedName name="mercadorias" localSheetId="15">#REF!</definedName>
    <definedName name="mercadorias" localSheetId="16">#REF!</definedName>
    <definedName name="mercadorias" localSheetId="17">'[1]14 Pers.'!$E$12:$E$28</definedName>
    <definedName name="mercadorias" localSheetId="18">'[1]14 Pers.'!$E$12:$E$28</definedName>
    <definedName name="mercadorias" localSheetId="19">#REF!</definedName>
    <definedName name="mercadorias" localSheetId="10">#REF!</definedName>
    <definedName name="mercadorias" localSheetId="11">#REF!</definedName>
    <definedName name="mercadorias">'14 Pers.'!$E$12:$E$28</definedName>
    <definedName name="Municipio" localSheetId="0">#REF!</definedName>
    <definedName name="Municipio" localSheetId="12">#REF!</definedName>
    <definedName name="Municipio" localSheetId="13">#REF!</definedName>
    <definedName name="Municipio" localSheetId="14">#REF!</definedName>
    <definedName name="Municipio" localSheetId="15">#REF!</definedName>
    <definedName name="Municipio" localSheetId="16">#REF!</definedName>
    <definedName name="Municipio" localSheetId="17">#REF!</definedName>
    <definedName name="Municipio" localSheetId="18">#REF!</definedName>
    <definedName name="Municipio" localSheetId="19">#REF!</definedName>
    <definedName name="Municipio" localSheetId="4">#REF!</definedName>
    <definedName name="Municipio" localSheetId="10">#REF!</definedName>
    <definedName name="Municipio" localSheetId="11">#REF!</definedName>
    <definedName name="Municipio">#REF!</definedName>
    <definedName name="NomeFantasia" localSheetId="0">#REF!</definedName>
    <definedName name="NomeFantasia" localSheetId="12">#REF!</definedName>
    <definedName name="NomeFantasia" localSheetId="13">#REF!</definedName>
    <definedName name="NomeFantasia" localSheetId="14">#REF!</definedName>
    <definedName name="NomeFantasia" localSheetId="15">#REF!</definedName>
    <definedName name="NomeFantasia" localSheetId="16">#REF!</definedName>
    <definedName name="NomeFantasia" localSheetId="17">#REF!</definedName>
    <definedName name="NomeFantasia" localSheetId="18">#REF!</definedName>
    <definedName name="NomeFantasia" localSheetId="19">#REF!</definedName>
    <definedName name="NomeFantasia" localSheetId="4">#REF!</definedName>
    <definedName name="NomeFantasia" localSheetId="10">#REF!</definedName>
    <definedName name="NomeFantasia" localSheetId="11">#REF!</definedName>
    <definedName name="NomeFantasia">#REF!</definedName>
    <definedName name="nomevendedor" localSheetId="0">#REF!</definedName>
    <definedName name="nomevendedor" localSheetId="12">#REF!</definedName>
    <definedName name="nomevendedor" localSheetId="13">#REF!</definedName>
    <definedName name="nomevendedor" localSheetId="14">#REF!</definedName>
    <definedName name="nomevendedor" localSheetId="15">#REF!</definedName>
    <definedName name="nomevendedor" localSheetId="16">#REF!</definedName>
    <definedName name="nomevendedor" localSheetId="17">#REF!</definedName>
    <definedName name="nomevendedor" localSheetId="18">#REF!</definedName>
    <definedName name="nomevendedor" localSheetId="19">#REF!</definedName>
    <definedName name="nomevendedor" localSheetId="10">#REF!</definedName>
    <definedName name="nomevendedor" localSheetId="11">#REF!</definedName>
    <definedName name="nomevendedor">'14 Pers.'!$A$12:$B$19</definedName>
    <definedName name="Parcelamentos">'14 Pers.'!$X$3:$X$148</definedName>
    <definedName name="RazaoSocial" localSheetId="0">#REF!</definedName>
    <definedName name="RazaoSocial" localSheetId="12">#REF!</definedName>
    <definedName name="RazaoSocial" localSheetId="13">#REF!</definedName>
    <definedName name="RazaoSocial" localSheetId="14">#REF!</definedName>
    <definedName name="RazaoSocial" localSheetId="15">#REF!</definedName>
    <definedName name="RazaoSocial" localSheetId="16">#REF!</definedName>
    <definedName name="RazaoSocial" localSheetId="17">#REF!</definedName>
    <definedName name="RazaoSocial" localSheetId="18">#REF!</definedName>
    <definedName name="RazaoSocial" localSheetId="19">#REF!</definedName>
    <definedName name="RazaoSocial" localSheetId="4">#REF!</definedName>
    <definedName name="RazaoSocial" localSheetId="10">#REF!</definedName>
    <definedName name="RazaoSocial" localSheetId="11">#REF!</definedName>
    <definedName name="RazaoSocial">#REF!</definedName>
    <definedName name="RG" localSheetId="0">#REF!</definedName>
    <definedName name="RG" localSheetId="12">#REF!</definedName>
    <definedName name="RG" localSheetId="13">#REF!</definedName>
    <definedName name="RG" localSheetId="14">#REF!</definedName>
    <definedName name="RG" localSheetId="15">#REF!</definedName>
    <definedName name="RG" localSheetId="16">#REF!</definedName>
    <definedName name="RG" localSheetId="17">'[1]1F Cliente'!$G$15</definedName>
    <definedName name="RG" localSheetId="18">'[1]1F Cliente'!$G$15</definedName>
    <definedName name="RG" localSheetId="19">#REF!</definedName>
    <definedName name="RG" localSheetId="4">'3.1Impressão'!#REF!</definedName>
    <definedName name="RG" localSheetId="10">#REF!</definedName>
    <definedName name="RG" localSheetId="11">#REF!</definedName>
    <definedName name="RG">'1FComprador'!#REF!</definedName>
    <definedName name="Senha" localSheetId="0">#REF!</definedName>
    <definedName name="Senha" localSheetId="12">#REF!</definedName>
    <definedName name="Senha" localSheetId="13">#REF!</definedName>
    <definedName name="Senha" localSheetId="14">#REF!</definedName>
    <definedName name="Senha" localSheetId="15">#REF!</definedName>
    <definedName name="Senha" localSheetId="16">#REF!</definedName>
    <definedName name="Senha" localSheetId="17">#REF!</definedName>
    <definedName name="Senha" localSheetId="18">#REF!</definedName>
    <definedName name="Senha" localSheetId="19">#REF!</definedName>
    <definedName name="Senha" localSheetId="4">#REF!</definedName>
    <definedName name="Senha" localSheetId="10">#REF!</definedName>
    <definedName name="Senha" localSheetId="11">#REF!</definedName>
    <definedName name="Senha">#REF!</definedName>
    <definedName name="Telefone1" localSheetId="0">#REF!</definedName>
    <definedName name="Telefone1" localSheetId="12">#REF!</definedName>
    <definedName name="Telefone1" localSheetId="13">#REF!</definedName>
    <definedName name="Telefone1" localSheetId="14">#REF!</definedName>
    <definedName name="Telefone1" localSheetId="15">#REF!</definedName>
    <definedName name="Telefone1" localSheetId="16">#REF!</definedName>
    <definedName name="Telefone1" localSheetId="17">#REF!</definedName>
    <definedName name="Telefone1" localSheetId="18">#REF!</definedName>
    <definedName name="Telefone1" localSheetId="19">#REF!</definedName>
    <definedName name="Telefone1" localSheetId="4">#REF!</definedName>
    <definedName name="Telefone1" localSheetId="10">#REF!</definedName>
    <definedName name="Telefone1" localSheetId="11">#REF!</definedName>
    <definedName name="Telefone1">#REF!</definedName>
    <definedName name="Telefone2" localSheetId="0">#REF!</definedName>
    <definedName name="Telefone2" localSheetId="12">#REF!</definedName>
    <definedName name="Telefone2" localSheetId="13">#REF!</definedName>
    <definedName name="Telefone2" localSheetId="14">#REF!</definedName>
    <definedName name="Telefone2" localSheetId="15">#REF!</definedName>
    <definedName name="Telefone2" localSheetId="16">#REF!</definedName>
    <definedName name="Telefone2" localSheetId="17">#REF!</definedName>
    <definedName name="Telefone2" localSheetId="18">#REF!</definedName>
    <definedName name="Telefone2" localSheetId="19">#REF!</definedName>
    <definedName name="Telefone2" localSheetId="4">#REF!</definedName>
    <definedName name="Telefone2" localSheetId="10">#REF!</definedName>
    <definedName name="Telefone2" localSheetId="11">#REF!</definedName>
    <definedName name="Telefone2">#REF!</definedName>
    <definedName name="Uf" localSheetId="0">#REF!</definedName>
    <definedName name="Uf" localSheetId="12">#REF!</definedName>
    <definedName name="Uf" localSheetId="13">#REF!</definedName>
    <definedName name="Uf" localSheetId="14">#REF!</definedName>
    <definedName name="Uf" localSheetId="15">#REF!</definedName>
    <definedName name="Uf" localSheetId="16">#REF!</definedName>
    <definedName name="Uf" localSheetId="17">#REF!</definedName>
    <definedName name="Uf" localSheetId="18">#REF!</definedName>
    <definedName name="Uf" localSheetId="19">#REF!</definedName>
    <definedName name="Uf" localSheetId="4">#REF!</definedName>
    <definedName name="Uf" localSheetId="10">#REF!</definedName>
    <definedName name="Uf" localSheetId="11">#REF!</definedName>
    <definedName name="Uf">#REF!</definedName>
    <definedName name="Validade" localSheetId="0">'[3]3Orçto'!$X$1</definedName>
    <definedName name="Validade" localSheetId="12">'3Orçto'!$X$1</definedName>
    <definedName name="Validade" localSheetId="13">'3Orçto'!$X$1</definedName>
    <definedName name="Validade" localSheetId="14">#REF!</definedName>
    <definedName name="Validade" localSheetId="15">#REF!</definedName>
    <definedName name="Validade" localSheetId="16">#REF!</definedName>
    <definedName name="Validade" localSheetId="17">'[1]3Orçto'!$X$1</definedName>
    <definedName name="Validade" localSheetId="18">'[1]3Orçto'!$X$1</definedName>
    <definedName name="Validade" localSheetId="19">#REF!</definedName>
    <definedName name="Validade" localSheetId="10">'3Orçto'!$X$1</definedName>
    <definedName name="Validade" localSheetId="11">'3Orçto'!$X$1</definedName>
    <definedName name="Validade">'3Orçto'!$X$1</definedName>
    <definedName name="validar" localSheetId="0">#REF!</definedName>
    <definedName name="validar" localSheetId="12">#REF!</definedName>
    <definedName name="validar" localSheetId="13">#REF!</definedName>
    <definedName name="validar" localSheetId="14">#REF!</definedName>
    <definedName name="validar" localSheetId="15">#REF!</definedName>
    <definedName name="validar" localSheetId="16">#REF!</definedName>
    <definedName name="validar" localSheetId="17">'[1]Losango 30'!$O$100</definedName>
    <definedName name="validar" localSheetId="18">'[1]Losango 30'!$O$100</definedName>
    <definedName name="validar" localSheetId="19">#REF!</definedName>
    <definedName name="validar" localSheetId="10">#REF!</definedName>
    <definedName name="validar" localSheetId="11">#REF!</definedName>
    <definedName name="validar">'[2]Losango 30'!$O$100</definedName>
    <definedName name="venda" localSheetId="0">#REF!</definedName>
    <definedName name="venda" localSheetId="12">#REF!</definedName>
    <definedName name="venda" localSheetId="14">#REF!</definedName>
    <definedName name="venda" localSheetId="15">#REF!</definedName>
    <definedName name="venda" localSheetId="16">#REF!</definedName>
    <definedName name="venda" localSheetId="17">#REF!</definedName>
    <definedName name="venda" localSheetId="18">#REF!</definedName>
    <definedName name="venda" localSheetId="19">#REF!</definedName>
    <definedName name="venda" localSheetId="10">#REF!</definedName>
    <definedName name="venda" localSheetId="11">#REF!</definedName>
    <definedName name="venda">'[2]Losango 30'!$K$105</definedName>
    <definedName name="vendas" localSheetId="0">#REF!</definedName>
    <definedName name="vendas" localSheetId="12">#REF!</definedName>
    <definedName name="vendas" localSheetId="13">#REF!</definedName>
    <definedName name="vendas" localSheetId="14">#REF!</definedName>
    <definedName name="vendas" localSheetId="15">#REF!</definedName>
    <definedName name="vendas" localSheetId="16">#REF!</definedName>
    <definedName name="vendas" localSheetId="17">'[1]14 Pers.'!$K$12:$K$23</definedName>
    <definedName name="vendas" localSheetId="18">'[1]14 Pers.'!$K$12:$K$23</definedName>
    <definedName name="vendas" localSheetId="19">#REF!</definedName>
    <definedName name="vendas" localSheetId="10">#REF!</definedName>
    <definedName name="vendas" localSheetId="11">#REF!</definedName>
    <definedName name="vendas">'14 Pers.'!$K$12:$K$23</definedName>
    <definedName name="vendedor" localSheetId="0">#REF!</definedName>
    <definedName name="vendedor" localSheetId="12">#REF!</definedName>
    <definedName name="vendedor" localSheetId="13">#REF!</definedName>
    <definedName name="vendedor" localSheetId="14">#REF!</definedName>
    <definedName name="vendedor" localSheetId="15">#REF!</definedName>
    <definedName name="vendedor" localSheetId="16">#REF!</definedName>
    <definedName name="vendedor" localSheetId="17">#REF!</definedName>
    <definedName name="vendedor" localSheetId="18">#REF!</definedName>
    <definedName name="vendedor" localSheetId="19">#REF!</definedName>
    <definedName name="vendedor" localSheetId="10">#REF!</definedName>
    <definedName name="vendedor" localSheetId="11">#REF!</definedName>
    <definedName name="vendedor">'14 Pers.'!$A$12:$C$19</definedName>
    <definedName name="Vendedor1" localSheetId="0">#REF!</definedName>
    <definedName name="Vendedor1" localSheetId="12">'9PG Projetista'!$C$5</definedName>
    <definedName name="Vendedor1" localSheetId="13">'9PG Projetista'!$C$5</definedName>
    <definedName name="Vendedor1" localSheetId="14">#REF!</definedName>
    <definedName name="Vendedor1" localSheetId="15">#REF!</definedName>
    <definedName name="Vendedor1" localSheetId="16">#REF!</definedName>
    <definedName name="Vendedor1" localSheetId="17">#REF!</definedName>
    <definedName name="Vendedor1" localSheetId="18">#REF!</definedName>
    <definedName name="Vendedor1" localSheetId="19">#REF!</definedName>
    <definedName name="Vendedor1" localSheetId="4">#REF!</definedName>
    <definedName name="Vendedor1" localSheetId="10">'9PG Projetista'!$C$5</definedName>
    <definedName name="Vendedor1" localSheetId="11">'9PG Projetista'!$C$5</definedName>
    <definedName name="Vendedor1">#REF!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6" i="62" l="1"/>
  <c r="B46" i="62"/>
  <c r="F45" i="62"/>
  <c r="E45" i="62"/>
  <c r="D45" i="62"/>
  <c r="C45" i="62"/>
  <c r="B45" i="62"/>
  <c r="Q3" i="1"/>
  <c r="F2" i="62"/>
  <c r="C52" i="62"/>
  <c r="R25" i="54" s="1"/>
  <c r="B52" i="62"/>
  <c r="F49" i="62"/>
  <c r="F48" i="62"/>
  <c r="D48" i="62"/>
  <c r="D47" i="62"/>
  <c r="F30" i="62"/>
  <c r="F4" i="62"/>
  <c r="R26" i="54"/>
  <c r="H35" i="30"/>
  <c r="E35" i="30"/>
  <c r="D35" i="30"/>
  <c r="B35" i="30"/>
  <c r="I34" i="30"/>
  <c r="I35" i="30" s="1"/>
  <c r="K33" i="30"/>
  <c r="K32" i="30"/>
  <c r="I35" i="26" l="1"/>
  <c r="C36" i="30"/>
  <c r="M4" i="1"/>
  <c r="H1" i="54"/>
  <c r="G65" i="54"/>
  <c r="G29" i="45"/>
  <c r="G30" i="45"/>
  <c r="G31" i="45"/>
  <c r="G32" i="45"/>
  <c r="G33" i="45"/>
  <c r="G28" i="45"/>
  <c r="C32" i="43" l="1"/>
  <c r="C49" i="30" l="1"/>
  <c r="C50" i="30"/>
  <c r="C51" i="30"/>
  <c r="C52" i="30"/>
  <c r="C48" i="30"/>
  <c r="C47" i="30"/>
  <c r="D4" i="1"/>
  <c r="B9" i="26" s="1"/>
  <c r="C43" i="27"/>
  <c r="F7" i="43"/>
  <c r="C7" i="43"/>
  <c r="F8" i="43"/>
  <c r="E8" i="43"/>
  <c r="D8" i="43"/>
  <c r="E14" i="26"/>
  <c r="D12" i="26"/>
  <c r="B47" i="1"/>
  <c r="K2" i="30"/>
  <c r="B54" i="66"/>
  <c r="B53" i="66"/>
  <c r="B59" i="65"/>
  <c r="F2" i="65"/>
  <c r="F31" i="65"/>
  <c r="E31" i="65"/>
  <c r="C31" i="65"/>
  <c r="F30" i="65"/>
  <c r="C30" i="65"/>
  <c r="E29" i="65"/>
  <c r="B29" i="65"/>
  <c r="C35" i="65"/>
  <c r="B11" i="46"/>
  <c r="C9" i="43" l="1"/>
  <c r="B9" i="46"/>
  <c r="B9" i="63"/>
  <c r="C14" i="46"/>
  <c r="R30" i="54" s="1"/>
  <c r="C15" i="46"/>
  <c r="R31" i="54" l="1"/>
  <c r="R33" i="54"/>
  <c r="D37" i="43" s="1"/>
  <c r="R32" i="54"/>
  <c r="D36" i="43" s="1"/>
  <c r="P33" i="54"/>
  <c r="P32" i="54"/>
  <c r="R34" i="54"/>
  <c r="P34" i="54"/>
  <c r="R35" i="54"/>
  <c r="P35" i="54"/>
  <c r="R38" i="54"/>
  <c r="P38" i="54"/>
  <c r="N3" i="1" s="1"/>
  <c r="P40" i="54"/>
  <c r="P39" i="54"/>
  <c r="P37" i="54"/>
  <c r="P36" i="54"/>
  <c r="C37" i="43"/>
  <c r="C36" i="43"/>
  <c r="C34" i="43"/>
  <c r="C33" i="43"/>
  <c r="C39" i="43"/>
  <c r="C40" i="43"/>
  <c r="C41" i="43"/>
  <c r="C42" i="43"/>
  <c r="C43" i="43"/>
  <c r="C44" i="43"/>
  <c r="C38" i="43"/>
  <c r="H1" i="1"/>
  <c r="E57" i="43"/>
  <c r="I63" i="30"/>
  <c r="H2" i="1"/>
  <c r="F434" i="26" s="1"/>
  <c r="F427" i="26"/>
  <c r="E427" i="26"/>
  <c r="E434" i="26"/>
  <c r="R3" i="1"/>
  <c r="V4" i="1"/>
  <c r="O37" i="27"/>
  <c r="I125" i="34"/>
  <c r="C7" i="44"/>
  <c r="D7" i="46"/>
  <c r="L22" i="30"/>
  <c r="D47" i="1"/>
  <c r="K9" i="30"/>
  <c r="H30" i="30" l="1"/>
  <c r="H28" i="30"/>
  <c r="H31" i="30"/>
  <c r="H29" i="30"/>
  <c r="D42" i="43"/>
  <c r="B1" i="1"/>
  <c r="E8" i="30"/>
  <c r="I5" i="69" l="1"/>
  <c r="I1" i="1" l="1"/>
  <c r="F2" i="69"/>
  <c r="D2" i="69"/>
  <c r="I2" i="69"/>
  <c r="I34" i="69"/>
  <c r="F46" i="68"/>
  <c r="H50" i="67"/>
  <c r="E45" i="66"/>
  <c r="J50" i="64"/>
  <c r="D51" i="46"/>
  <c r="H66" i="45"/>
  <c r="D53" i="44"/>
  <c r="E48" i="23"/>
  <c r="H126" i="34"/>
  <c r="P45" i="27"/>
  <c r="H64" i="26"/>
  <c r="H129" i="26" s="1"/>
  <c r="H65" i="63"/>
  <c r="R51" i="1"/>
  <c r="F57" i="31"/>
  <c r="H64" i="30"/>
  <c r="H2" i="69"/>
  <c r="X1" i="1" l="1"/>
  <c r="I2" i="1" s="1"/>
  <c r="F3" i="62"/>
  <c r="H15" i="69"/>
  <c r="H14" i="69"/>
  <c r="J11" i="69"/>
  <c r="J12" i="69"/>
  <c r="J13" i="69"/>
  <c r="J10" i="69"/>
  <c r="I11" i="69"/>
  <c r="I12" i="69"/>
  <c r="I13" i="69"/>
  <c r="I10" i="69"/>
  <c r="H11" i="69"/>
  <c r="H12" i="69"/>
  <c r="H13" i="69"/>
  <c r="H10" i="69"/>
  <c r="C11" i="69"/>
  <c r="C12" i="69"/>
  <c r="C13" i="69"/>
  <c r="C14" i="69"/>
  <c r="C15" i="69"/>
  <c r="C16" i="69"/>
  <c r="C10" i="69"/>
  <c r="E11" i="69"/>
  <c r="E12" i="69"/>
  <c r="E13" i="69"/>
  <c r="E14" i="69"/>
  <c r="E15" i="69"/>
  <c r="E16" i="69"/>
  <c r="E10" i="69"/>
  <c r="J9" i="69"/>
  <c r="I9" i="69"/>
  <c r="H9" i="69"/>
  <c r="E9" i="69"/>
  <c r="C9" i="69"/>
  <c r="J8" i="69"/>
  <c r="I8" i="69"/>
  <c r="H8" i="69"/>
  <c r="E8" i="69"/>
  <c r="J7" i="69"/>
  <c r="I7" i="69"/>
  <c r="H7" i="69"/>
  <c r="E7" i="69"/>
  <c r="H5" i="69"/>
  <c r="E5" i="69"/>
  <c r="C5" i="69" s="1"/>
  <c r="J4" i="69"/>
  <c r="I4" i="69"/>
  <c r="I3" i="69"/>
  <c r="E4" i="69"/>
  <c r="E3" i="69"/>
  <c r="E2" i="68"/>
  <c r="B2" i="68"/>
  <c r="F2" i="67"/>
  <c r="B2" i="67"/>
  <c r="C8" i="66"/>
  <c r="F6" i="66"/>
  <c r="F5" i="66"/>
  <c r="E6" i="66"/>
  <c r="C6" i="66"/>
  <c r="F38" i="66" s="1"/>
  <c r="E5" i="66"/>
  <c r="B5" i="66"/>
  <c r="C9" i="66" s="1"/>
  <c r="F4" i="66"/>
  <c r="E4" i="66"/>
  <c r="B4" i="66"/>
  <c r="B58" i="65"/>
  <c r="B2" i="64"/>
  <c r="C43" i="69"/>
  <c r="F43" i="68"/>
  <c r="E43" i="68"/>
  <c r="G43" i="68" s="1"/>
  <c r="G31" i="68"/>
  <c r="G29" i="68"/>
  <c r="G27" i="68"/>
  <c r="G25" i="68"/>
  <c r="G23" i="68"/>
  <c r="G21" i="68"/>
  <c r="G19" i="68"/>
  <c r="G17" i="68"/>
  <c r="G15" i="68"/>
  <c r="G13" i="68"/>
  <c r="G11" i="68"/>
  <c r="G9" i="68"/>
  <c r="E6" i="68"/>
  <c r="G49" i="67"/>
  <c r="H48" i="67"/>
  <c r="G46" i="67"/>
  <c r="F46" i="67"/>
  <c r="M45" i="67"/>
  <c r="L45" i="67"/>
  <c r="N45" i="67" s="1"/>
  <c r="H46" i="67" s="1"/>
  <c r="G45" i="67"/>
  <c r="F45" i="67"/>
  <c r="H45" i="67" s="1"/>
  <c r="N7" i="67"/>
  <c r="N8" i="67" s="1"/>
  <c r="N9" i="67" s="1"/>
  <c r="N10" i="67" s="1"/>
  <c r="N11" i="67" s="1"/>
  <c r="N12" i="67" s="1"/>
  <c r="N13" i="67" s="1"/>
  <c r="N14" i="67" s="1"/>
  <c r="N15" i="67" s="1"/>
  <c r="N16" i="67" s="1"/>
  <c r="N17" i="67" s="1"/>
  <c r="N18" i="67" s="1"/>
  <c r="N19" i="67" s="1"/>
  <c r="N20" i="67" s="1"/>
  <c r="N21" i="67" s="1"/>
  <c r="N22" i="67" s="1"/>
  <c r="N23" i="67" s="1"/>
  <c r="N24" i="67" s="1"/>
  <c r="N25" i="67" s="1"/>
  <c r="N26" i="67" s="1"/>
  <c r="N27" i="67" s="1"/>
  <c r="N28" i="67" s="1"/>
  <c r="N29" i="67" s="1"/>
  <c r="N30" i="67" s="1"/>
  <c r="N31" i="67" s="1"/>
  <c r="N32" i="67" s="1"/>
  <c r="N33" i="67" s="1"/>
  <c r="N34" i="67" s="1"/>
  <c r="N35" i="67" s="1"/>
  <c r="N36" i="67" s="1"/>
  <c r="N37" i="67" s="1"/>
  <c r="N38" i="67" s="1"/>
  <c r="N39" i="67" s="1"/>
  <c r="N40" i="67" s="1"/>
  <c r="N41" i="67" s="1"/>
  <c r="N42" i="67" s="1"/>
  <c r="N43" i="67" s="1"/>
  <c r="H7" i="67"/>
  <c r="H8" i="67" s="1"/>
  <c r="H9" i="67" s="1"/>
  <c r="H10" i="67" s="1"/>
  <c r="H11" i="67" s="1"/>
  <c r="H12" i="67" s="1"/>
  <c r="H13" i="67" s="1"/>
  <c r="H14" i="67" s="1"/>
  <c r="H15" i="67" s="1"/>
  <c r="H16" i="67" s="1"/>
  <c r="H17" i="67" s="1"/>
  <c r="H18" i="67" s="1"/>
  <c r="H19" i="67" s="1"/>
  <c r="H20" i="67" s="1"/>
  <c r="H21" i="67" s="1"/>
  <c r="H22" i="67" s="1"/>
  <c r="H23" i="67" s="1"/>
  <c r="H24" i="67" s="1"/>
  <c r="H25" i="67" s="1"/>
  <c r="H26" i="67" s="1"/>
  <c r="H27" i="67" s="1"/>
  <c r="H28" i="67" s="1"/>
  <c r="H29" i="67" s="1"/>
  <c r="H30" i="67" s="1"/>
  <c r="H31" i="67" s="1"/>
  <c r="H32" i="67" s="1"/>
  <c r="H33" i="67" s="1"/>
  <c r="H34" i="67" s="1"/>
  <c r="H35" i="67" s="1"/>
  <c r="H36" i="67" s="1"/>
  <c r="H37" i="67" s="1"/>
  <c r="H38" i="67" s="1"/>
  <c r="H39" i="67" s="1"/>
  <c r="H40" i="67" s="1"/>
  <c r="H41" i="67" s="1"/>
  <c r="H42" i="67" s="1"/>
  <c r="H43" i="67" s="1"/>
  <c r="H44" i="67" s="1"/>
  <c r="N4" i="67"/>
  <c r="G42" i="66"/>
  <c r="F42" i="66"/>
  <c r="B42" i="66"/>
  <c r="G41" i="66"/>
  <c r="B41" i="66"/>
  <c r="F40" i="66"/>
  <c r="E40" i="66"/>
  <c r="G36" i="66"/>
  <c r="E36" i="66"/>
  <c r="G40" i="66" s="1"/>
  <c r="G23" i="66"/>
  <c r="G51" i="65"/>
  <c r="G53" i="65" s="1"/>
  <c r="F2" i="64"/>
  <c r="J4" i="64"/>
  <c r="J5" i="64"/>
  <c r="H49" i="67" l="1"/>
  <c r="E45" i="68"/>
  <c r="L46" i="67"/>
  <c r="G29" i="66"/>
  <c r="G35" i="66" s="1"/>
  <c r="G37" i="66" l="1"/>
  <c r="G38" i="66" s="1"/>
  <c r="K12" i="45" l="1"/>
  <c r="O38" i="27"/>
  <c r="B9" i="45"/>
  <c r="K5" i="45"/>
  <c r="H5" i="26"/>
  <c r="C42" i="63"/>
  <c r="H5" i="45"/>
  <c r="H5" i="30"/>
  <c r="N38" i="27" s="1"/>
  <c r="H7" i="30"/>
  <c r="E7" i="30"/>
  <c r="E6" i="30"/>
  <c r="E5" i="30"/>
  <c r="E4" i="30"/>
  <c r="E3" i="30"/>
  <c r="D63" i="30" s="1"/>
  <c r="K7" i="30"/>
  <c r="C51" i="43" l="1"/>
  <c r="G47" i="63"/>
  <c r="C46" i="43" l="1"/>
  <c r="F46" i="43" s="1"/>
  <c r="T30" i="54"/>
  <c r="K36" i="45"/>
  <c r="K37" i="45"/>
  <c r="K38" i="45"/>
  <c r="K39" i="45"/>
  <c r="K40" i="45"/>
  <c r="C29" i="45"/>
  <c r="C28" i="45"/>
  <c r="D35" i="26" l="1"/>
  <c r="E9" i="30" l="1"/>
  <c r="D4" i="43" s="1"/>
  <c r="C41" i="63"/>
  <c r="C43" i="63"/>
  <c r="C44" i="63"/>
  <c r="C45" i="63"/>
  <c r="C49" i="63"/>
  <c r="C50" i="63"/>
  <c r="C51" i="63"/>
  <c r="C52" i="63"/>
  <c r="D30" i="63"/>
  <c r="D31" i="63"/>
  <c r="D32" i="63"/>
  <c r="D33" i="63"/>
  <c r="I32" i="26"/>
  <c r="D12" i="45" l="1"/>
  <c r="C50" i="45"/>
  <c r="C51" i="45"/>
  <c r="C52" i="45"/>
  <c r="C53" i="45"/>
  <c r="C54" i="45"/>
  <c r="C49" i="45"/>
  <c r="G43" i="45"/>
  <c r="G44" i="45"/>
  <c r="G45" i="45"/>
  <c r="G46" i="45"/>
  <c r="G47" i="45"/>
  <c r="G42" i="45"/>
  <c r="K35" i="45"/>
  <c r="I36" i="45"/>
  <c r="I37" i="45"/>
  <c r="I38" i="45"/>
  <c r="I39" i="45"/>
  <c r="I40" i="45"/>
  <c r="I35" i="45"/>
  <c r="G36" i="45"/>
  <c r="G37" i="45"/>
  <c r="G38" i="45"/>
  <c r="G39" i="45"/>
  <c r="G40" i="45"/>
  <c r="G35" i="45"/>
  <c r="E36" i="45"/>
  <c r="E37" i="45"/>
  <c r="E38" i="45"/>
  <c r="E39" i="45"/>
  <c r="E40" i="45"/>
  <c r="E35" i="45"/>
  <c r="C36" i="45"/>
  <c r="C37" i="45"/>
  <c r="C38" i="45"/>
  <c r="C39" i="45"/>
  <c r="C40" i="45"/>
  <c r="C35" i="45"/>
  <c r="C30" i="45"/>
  <c r="C31" i="45"/>
  <c r="C32" i="45"/>
  <c r="C33" i="45"/>
  <c r="D30" i="45"/>
  <c r="D31" i="45"/>
  <c r="D32" i="45"/>
  <c r="D33" i="45"/>
  <c r="D18" i="45"/>
  <c r="C42" i="45" l="1"/>
  <c r="C47" i="63"/>
  <c r="D28" i="63"/>
  <c r="D28" i="45"/>
  <c r="B14" i="46"/>
  <c r="D426" i="26"/>
  <c r="L24" i="63" l="1"/>
  <c r="L18" i="63"/>
  <c r="H14" i="63"/>
  <c r="H20" i="63"/>
  <c r="D20" i="63"/>
  <c r="H55" i="31"/>
  <c r="C8" i="31"/>
  <c r="C7" i="31"/>
  <c r="F7" i="31"/>
  <c r="D16" i="63"/>
  <c r="C6" i="31"/>
  <c r="C5" i="31"/>
  <c r="H14" i="45" l="1"/>
  <c r="E14" i="45"/>
  <c r="L14" i="45"/>
  <c r="L399" i="26"/>
  <c r="L333" i="26"/>
  <c r="L267" i="26"/>
  <c r="L201" i="26"/>
  <c r="L135" i="26"/>
  <c r="L70" i="26"/>
  <c r="L8" i="26"/>
  <c r="J36" i="26"/>
  <c r="I29" i="26"/>
  <c r="I30" i="26"/>
  <c r="I31" i="26"/>
  <c r="I33" i="26"/>
  <c r="H29" i="26"/>
  <c r="H30" i="26"/>
  <c r="H31" i="26"/>
  <c r="H32" i="26"/>
  <c r="H33" i="26"/>
  <c r="D30" i="26"/>
  <c r="D31" i="26"/>
  <c r="D32" i="26"/>
  <c r="D33" i="26"/>
  <c r="D28" i="26"/>
  <c r="C29" i="26"/>
  <c r="C30" i="26"/>
  <c r="C31" i="26"/>
  <c r="C32" i="26"/>
  <c r="C33" i="26"/>
  <c r="C28" i="26"/>
  <c r="L24" i="26"/>
  <c r="J24" i="26"/>
  <c r="H24" i="26"/>
  <c r="D24" i="26"/>
  <c r="D22" i="26"/>
  <c r="H20" i="26"/>
  <c r="E20" i="26"/>
  <c r="D20" i="26"/>
  <c r="L18" i="26"/>
  <c r="J18" i="26"/>
  <c r="H18" i="26"/>
  <c r="D18" i="26"/>
  <c r="L16" i="26"/>
  <c r="D16" i="26"/>
  <c r="L14" i="26"/>
  <c r="J14" i="26"/>
  <c r="K12" i="26"/>
  <c r="K11" i="26"/>
  <c r="L24" i="45"/>
  <c r="J24" i="45"/>
  <c r="H24" i="45"/>
  <c r="D24" i="45"/>
  <c r="D22" i="45"/>
  <c r="H20" i="45"/>
  <c r="E20" i="45"/>
  <c r="D20" i="45"/>
  <c r="L18" i="45"/>
  <c r="J18" i="45"/>
  <c r="H18" i="45"/>
  <c r="L16" i="45"/>
  <c r="D16" i="45"/>
  <c r="J14" i="45"/>
  <c r="K11" i="45"/>
  <c r="K5" i="34"/>
  <c r="L71" i="34"/>
  <c r="L8" i="34"/>
  <c r="C55" i="26"/>
  <c r="C56" i="26"/>
  <c r="C57" i="26"/>
  <c r="C58" i="26"/>
  <c r="C59" i="26"/>
  <c r="C54" i="26"/>
  <c r="G47" i="26"/>
  <c r="G48" i="26"/>
  <c r="G49" i="26"/>
  <c r="G50" i="26"/>
  <c r="G51" i="26"/>
  <c r="G52" i="26"/>
  <c r="K41" i="26"/>
  <c r="K42" i="26"/>
  <c r="K43" i="26"/>
  <c r="K44" i="26"/>
  <c r="K45" i="26"/>
  <c r="K40" i="26"/>
  <c r="I41" i="26"/>
  <c r="I42" i="26"/>
  <c r="I43" i="26"/>
  <c r="I44" i="26"/>
  <c r="I45" i="26"/>
  <c r="I40" i="26"/>
  <c r="G41" i="26"/>
  <c r="G42" i="26"/>
  <c r="G43" i="26"/>
  <c r="G44" i="26"/>
  <c r="G45" i="26"/>
  <c r="G40" i="26"/>
  <c r="E41" i="26"/>
  <c r="E42" i="26"/>
  <c r="E43" i="26"/>
  <c r="E44" i="26"/>
  <c r="E45" i="26"/>
  <c r="E40" i="26"/>
  <c r="C41" i="26"/>
  <c r="C42" i="26"/>
  <c r="C43" i="26"/>
  <c r="C44" i="26"/>
  <c r="C45" i="26"/>
  <c r="C40" i="26"/>
  <c r="H14" i="26"/>
  <c r="H35" i="26"/>
  <c r="G52" i="63"/>
  <c r="G48" i="63"/>
  <c r="G49" i="63"/>
  <c r="G50" i="63"/>
  <c r="G51" i="63"/>
  <c r="C40" i="63"/>
  <c r="E41" i="63"/>
  <c r="G41" i="63"/>
  <c r="G42" i="63"/>
  <c r="G43" i="63"/>
  <c r="G44" i="63"/>
  <c r="G45" i="63"/>
  <c r="G40" i="63"/>
  <c r="E42" i="63"/>
  <c r="E43" i="63"/>
  <c r="E44" i="63"/>
  <c r="E45" i="63"/>
  <c r="E40" i="63"/>
  <c r="K41" i="63"/>
  <c r="K42" i="63"/>
  <c r="K43" i="63"/>
  <c r="K44" i="63"/>
  <c r="K45" i="63"/>
  <c r="I45" i="63"/>
  <c r="I41" i="63"/>
  <c r="I42" i="63"/>
  <c r="I43" i="63"/>
  <c r="I44" i="63"/>
  <c r="K40" i="63"/>
  <c r="I40" i="63"/>
  <c r="I29" i="63"/>
  <c r="I30" i="63"/>
  <c r="I31" i="63"/>
  <c r="I32" i="63"/>
  <c r="I33" i="63"/>
  <c r="H29" i="63"/>
  <c r="H30" i="63"/>
  <c r="H31" i="63"/>
  <c r="H32" i="63"/>
  <c r="H33" i="63"/>
  <c r="C29" i="63"/>
  <c r="C30" i="63"/>
  <c r="C31" i="63"/>
  <c r="C32" i="63"/>
  <c r="C33" i="63"/>
  <c r="C28" i="63"/>
  <c r="J24" i="63"/>
  <c r="H24" i="63"/>
  <c r="D24" i="63"/>
  <c r="D22" i="63"/>
  <c r="E20" i="63"/>
  <c r="J18" i="63"/>
  <c r="H18" i="63"/>
  <c r="D18" i="63"/>
  <c r="J14" i="63"/>
  <c r="L16" i="63"/>
  <c r="E14" i="63"/>
  <c r="K12" i="63"/>
  <c r="K11" i="63"/>
  <c r="L14" i="63" l="1"/>
  <c r="D6" i="43"/>
  <c r="C5" i="46"/>
  <c r="B5" i="46"/>
  <c r="K10" i="45" l="1"/>
  <c r="E5" i="46" s="1"/>
  <c r="J65" i="45"/>
  <c r="D65" i="45"/>
  <c r="K9" i="45"/>
  <c r="E9" i="45"/>
  <c r="E8" i="45"/>
  <c r="K7" i="45"/>
  <c r="H7" i="45"/>
  <c r="E7" i="45"/>
  <c r="E6" i="45"/>
  <c r="E5" i="45"/>
  <c r="E4" i="45"/>
  <c r="E3" i="45"/>
  <c r="K2" i="45"/>
  <c r="J36" i="63"/>
  <c r="K4" i="57" l="1"/>
  <c r="D4" i="57"/>
  <c r="M1" i="57"/>
  <c r="K4" i="56"/>
  <c r="D4" i="56"/>
  <c r="M1" i="56"/>
  <c r="O100" i="55"/>
  <c r="K4" i="55"/>
  <c r="D4" i="55"/>
  <c r="A6" i="41"/>
  <c r="A5" i="41"/>
  <c r="A4" i="41"/>
  <c r="A3" i="41"/>
  <c r="A2" i="41"/>
  <c r="A1" i="41"/>
  <c r="X148" i="54"/>
  <c r="F144" i="41" s="1"/>
  <c r="X147" i="54"/>
  <c r="F143" i="41" s="1"/>
  <c r="X146" i="54"/>
  <c r="F142" i="41" s="1"/>
  <c r="X145" i="54"/>
  <c r="F141" i="41" s="1"/>
  <c r="X144" i="54"/>
  <c r="F140" i="41" s="1"/>
  <c r="X143" i="54"/>
  <c r="F139" i="41" s="1"/>
  <c r="X142" i="54"/>
  <c r="F138" i="41" s="1"/>
  <c r="X141" i="54"/>
  <c r="F137" i="41" s="1"/>
  <c r="X140" i="54"/>
  <c r="F136" i="41" s="1"/>
  <c r="X139" i="54"/>
  <c r="F135" i="41" s="1"/>
  <c r="X138" i="54"/>
  <c r="F134" i="41" s="1"/>
  <c r="X137" i="54"/>
  <c r="F133" i="41" s="1"/>
  <c r="X136" i="54"/>
  <c r="F132" i="41" s="1"/>
  <c r="X135" i="54"/>
  <c r="F131" i="41" s="1"/>
  <c r="X134" i="54"/>
  <c r="F130" i="41" s="1"/>
  <c r="X133" i="54"/>
  <c r="F129" i="41" s="1"/>
  <c r="X132" i="54"/>
  <c r="F128" i="41" s="1"/>
  <c r="X131" i="54"/>
  <c r="F127" i="41" s="1"/>
  <c r="X130" i="54"/>
  <c r="F126" i="41" s="1"/>
  <c r="X129" i="54"/>
  <c r="F125" i="41" s="1"/>
  <c r="X128" i="54"/>
  <c r="F124" i="41" s="1"/>
  <c r="X127" i="54"/>
  <c r="F123" i="41" s="1"/>
  <c r="X126" i="54"/>
  <c r="F122" i="41" s="1"/>
  <c r="X125" i="54"/>
  <c r="F121" i="41" s="1"/>
  <c r="X124" i="54"/>
  <c r="F120" i="41" s="1"/>
  <c r="X123" i="54"/>
  <c r="F119" i="41" s="1"/>
  <c r="X122" i="54"/>
  <c r="F118" i="41" s="1"/>
  <c r="X121" i="54"/>
  <c r="F117" i="41" s="1"/>
  <c r="X120" i="54"/>
  <c r="F116" i="41" s="1"/>
  <c r="X119" i="54"/>
  <c r="F115" i="41" s="1"/>
  <c r="X118" i="54"/>
  <c r="F114" i="41" s="1"/>
  <c r="X117" i="54"/>
  <c r="F113" i="41" s="1"/>
  <c r="X116" i="54"/>
  <c r="F112" i="41" s="1"/>
  <c r="X115" i="54"/>
  <c r="F111" i="41" s="1"/>
  <c r="Y114" i="54"/>
  <c r="Y115" i="54" s="1"/>
  <c r="Y116" i="54" s="1"/>
  <c r="Y117" i="54" s="1"/>
  <c r="Y118" i="54" s="1"/>
  <c r="Y119" i="54" s="1"/>
  <c r="Y120" i="54" s="1"/>
  <c r="Y121" i="54" s="1"/>
  <c r="Y122" i="54" s="1"/>
  <c r="Y123" i="54" s="1"/>
  <c r="Y124" i="54" s="1"/>
  <c r="Y125" i="54" s="1"/>
  <c r="Y126" i="54" s="1"/>
  <c r="Y127" i="54" s="1"/>
  <c r="Y128" i="54" s="1"/>
  <c r="Y129" i="54" s="1"/>
  <c r="Y130" i="54" s="1"/>
  <c r="Y131" i="54" s="1"/>
  <c r="Y132" i="54" s="1"/>
  <c r="Y133" i="54" s="1"/>
  <c r="Y134" i="54" s="1"/>
  <c r="Y135" i="54" s="1"/>
  <c r="Y136" i="54" s="1"/>
  <c r="Y137" i="54" s="1"/>
  <c r="Y138" i="54" s="1"/>
  <c r="Y139" i="54" s="1"/>
  <c r="Y140" i="54" s="1"/>
  <c r="Y141" i="54" s="1"/>
  <c r="Y142" i="54" s="1"/>
  <c r="Y143" i="54" s="1"/>
  <c r="Y144" i="54" s="1"/>
  <c r="Y145" i="54" s="1"/>
  <c r="Y146" i="54" s="1"/>
  <c r="Y147" i="54" s="1"/>
  <c r="Y148" i="54" s="1"/>
  <c r="X114" i="54"/>
  <c r="F110" i="41" s="1"/>
  <c r="X113" i="54"/>
  <c r="F109" i="41" s="1"/>
  <c r="X112" i="54"/>
  <c r="F108" i="41" s="1"/>
  <c r="X111" i="54"/>
  <c r="F107" i="41" s="1"/>
  <c r="X110" i="54"/>
  <c r="F106" i="41" s="1"/>
  <c r="X109" i="54"/>
  <c r="F105" i="41" s="1"/>
  <c r="X108" i="54"/>
  <c r="F104" i="41" s="1"/>
  <c r="X107" i="54"/>
  <c r="F103" i="41" s="1"/>
  <c r="X106" i="54"/>
  <c r="F102" i="41" s="1"/>
  <c r="X105" i="54"/>
  <c r="F101" i="41" s="1"/>
  <c r="X104" i="54"/>
  <c r="F100" i="41" s="1"/>
  <c r="X103" i="54"/>
  <c r="F99" i="41" s="1"/>
  <c r="X102" i="54"/>
  <c r="F98" i="41" s="1"/>
  <c r="X101" i="54"/>
  <c r="F97" i="41" s="1"/>
  <c r="X100" i="54"/>
  <c r="F96" i="41" s="1"/>
  <c r="X99" i="54"/>
  <c r="F95" i="41" s="1"/>
  <c r="X98" i="54"/>
  <c r="F94" i="41" s="1"/>
  <c r="X97" i="54"/>
  <c r="F93" i="41" s="1"/>
  <c r="X96" i="54"/>
  <c r="F92" i="41" s="1"/>
  <c r="X95" i="54"/>
  <c r="F91" i="41" s="1"/>
  <c r="X94" i="54"/>
  <c r="F90" i="41" s="1"/>
  <c r="X93" i="54"/>
  <c r="F89" i="41" s="1"/>
  <c r="X92" i="54"/>
  <c r="F88" i="41" s="1"/>
  <c r="X91" i="54"/>
  <c r="F87" i="41" s="1"/>
  <c r="X90" i="54"/>
  <c r="F86" i="41" s="1"/>
  <c r="X89" i="54"/>
  <c r="F85" i="41" s="1"/>
  <c r="X88" i="54"/>
  <c r="F84" i="41" s="1"/>
  <c r="X87" i="54"/>
  <c r="F83" i="41" s="1"/>
  <c r="X86" i="54"/>
  <c r="F82" i="41" s="1"/>
  <c r="X85" i="54"/>
  <c r="F81" i="41" s="1"/>
  <c r="X84" i="54"/>
  <c r="F80" i="41" s="1"/>
  <c r="X83" i="54"/>
  <c r="F79" i="41" s="1"/>
  <c r="X82" i="54"/>
  <c r="F78" i="41" s="1"/>
  <c r="X81" i="54"/>
  <c r="F77" i="41" s="1"/>
  <c r="X80" i="54"/>
  <c r="F76" i="41" s="1"/>
  <c r="X79" i="54"/>
  <c r="F75" i="41" s="1"/>
  <c r="Y78" i="54"/>
  <c r="Y79" i="54" s="1"/>
  <c r="Y80" i="54" s="1"/>
  <c r="Y81" i="54" s="1"/>
  <c r="Y82" i="54" s="1"/>
  <c r="Y83" i="54" s="1"/>
  <c r="Y84" i="54" s="1"/>
  <c r="Y85" i="54" s="1"/>
  <c r="Y86" i="54" s="1"/>
  <c r="Y87" i="54" s="1"/>
  <c r="Y88" i="54" s="1"/>
  <c r="Y89" i="54" s="1"/>
  <c r="Y90" i="54" s="1"/>
  <c r="Y91" i="54" s="1"/>
  <c r="Y92" i="54" s="1"/>
  <c r="Y93" i="54" s="1"/>
  <c r="Y94" i="54" s="1"/>
  <c r="Y95" i="54" s="1"/>
  <c r="Y96" i="54" s="1"/>
  <c r="Y97" i="54" s="1"/>
  <c r="Y98" i="54" s="1"/>
  <c r="Y99" i="54" s="1"/>
  <c r="Y100" i="54" s="1"/>
  <c r="Y101" i="54" s="1"/>
  <c r="Y102" i="54" s="1"/>
  <c r="Y103" i="54" s="1"/>
  <c r="Y104" i="54" s="1"/>
  <c r="Y105" i="54" s="1"/>
  <c r="Y106" i="54" s="1"/>
  <c r="Y107" i="54" s="1"/>
  <c r="Y108" i="54" s="1"/>
  <c r="Y109" i="54" s="1"/>
  <c r="Y110" i="54" s="1"/>
  <c r="Y111" i="54" s="1"/>
  <c r="Y112" i="54" s="1"/>
  <c r="X78" i="54"/>
  <c r="F74" i="41" s="1"/>
  <c r="X77" i="54"/>
  <c r="F73" i="41" s="1"/>
  <c r="X76" i="54"/>
  <c r="X75" i="54"/>
  <c r="X74" i="54"/>
  <c r="F70" i="41" s="1"/>
  <c r="X73" i="54"/>
  <c r="F69" i="41" s="1"/>
  <c r="X72" i="54"/>
  <c r="F68" i="41" s="1"/>
  <c r="X71" i="54"/>
  <c r="F67" i="41" s="1"/>
  <c r="X70" i="54"/>
  <c r="F66" i="41" s="1"/>
  <c r="X69" i="54"/>
  <c r="F65" i="41" s="1"/>
  <c r="X68" i="54"/>
  <c r="F64" i="41" s="1"/>
  <c r="X67" i="54"/>
  <c r="F63" i="41" s="1"/>
  <c r="X66" i="54"/>
  <c r="F62" i="41" s="1"/>
  <c r="X65" i="54"/>
  <c r="F61" i="41" s="1"/>
  <c r="X64" i="54"/>
  <c r="F60" i="41" s="1"/>
  <c r="X63" i="54"/>
  <c r="F59" i="41" s="1"/>
  <c r="X62" i="54"/>
  <c r="F58" i="41" s="1"/>
  <c r="X61" i="54"/>
  <c r="F57" i="41" s="1"/>
  <c r="X60" i="54"/>
  <c r="F56" i="41" s="1"/>
  <c r="E60" i="54"/>
  <c r="C60" i="54"/>
  <c r="X59" i="54"/>
  <c r="F55" i="41" s="1"/>
  <c r="X58" i="54"/>
  <c r="F54" i="41" s="1"/>
  <c r="X57" i="54"/>
  <c r="F53" i="41" s="1"/>
  <c r="X56" i="54"/>
  <c r="F52" i="41" s="1"/>
  <c r="X55" i="54"/>
  <c r="F51" i="41" s="1"/>
  <c r="X54" i="54"/>
  <c r="F50" i="41" s="1"/>
  <c r="X53" i="54"/>
  <c r="F49" i="41" s="1"/>
  <c r="X52" i="54"/>
  <c r="F48" i="41" s="1"/>
  <c r="X51" i="54"/>
  <c r="F47" i="41" s="1"/>
  <c r="X50" i="54"/>
  <c r="F46" i="41" s="1"/>
  <c r="X49" i="54"/>
  <c r="F45" i="41" s="1"/>
  <c r="X48" i="54"/>
  <c r="F44" i="41" s="1"/>
  <c r="T48" i="54"/>
  <c r="X47" i="54"/>
  <c r="F43" i="41" s="1"/>
  <c r="T47" i="54"/>
  <c r="X46" i="54"/>
  <c r="F42" i="41" s="1"/>
  <c r="X45" i="54"/>
  <c r="F41" i="41" s="1"/>
  <c r="X44" i="54"/>
  <c r="F40" i="41" s="1"/>
  <c r="X43" i="54"/>
  <c r="F39" i="41" s="1"/>
  <c r="Y42" i="54"/>
  <c r="Y43" i="54" s="1"/>
  <c r="Y44" i="54" s="1"/>
  <c r="Y45" i="54" s="1"/>
  <c r="Y46" i="54" s="1"/>
  <c r="Y47" i="54" s="1"/>
  <c r="Y48" i="54" s="1"/>
  <c r="Y49" i="54" s="1"/>
  <c r="Y50" i="54" s="1"/>
  <c r="Y51" i="54" s="1"/>
  <c r="Y52" i="54" s="1"/>
  <c r="Y53" i="54" s="1"/>
  <c r="Y54" i="54" s="1"/>
  <c r="Y55" i="54" s="1"/>
  <c r="Y56" i="54" s="1"/>
  <c r="Y57" i="54" s="1"/>
  <c r="Y58" i="54" s="1"/>
  <c r="Y59" i="54" s="1"/>
  <c r="Y60" i="54" s="1"/>
  <c r="Y61" i="54" s="1"/>
  <c r="Y62" i="54" s="1"/>
  <c r="Y63" i="54" s="1"/>
  <c r="Y64" i="54" s="1"/>
  <c r="Y65" i="54" s="1"/>
  <c r="Y66" i="54" s="1"/>
  <c r="Y67" i="54" s="1"/>
  <c r="Y68" i="54" s="1"/>
  <c r="Y69" i="54" s="1"/>
  <c r="Y70" i="54" s="1"/>
  <c r="Y71" i="54" s="1"/>
  <c r="Y72" i="54" s="1"/>
  <c r="Y73" i="54" s="1"/>
  <c r="Y74" i="54" s="1"/>
  <c r="Y75" i="54" s="1"/>
  <c r="Y76" i="54" s="1"/>
  <c r="X42" i="54"/>
  <c r="F38" i="41" s="1"/>
  <c r="X41" i="54"/>
  <c r="F37" i="41" s="1"/>
  <c r="S41" i="54"/>
  <c r="X40" i="54"/>
  <c r="F36" i="41" s="1"/>
  <c r="R40" i="54"/>
  <c r="D44" i="43" s="1"/>
  <c r="X39" i="54"/>
  <c r="F35" i="41" s="1"/>
  <c r="R39" i="54"/>
  <c r="D43" i="43" s="1"/>
  <c r="X36" i="54"/>
  <c r="F34" i="41" s="1"/>
  <c r="X35" i="54"/>
  <c r="F33" i="41" s="1"/>
  <c r="R37" i="54"/>
  <c r="X34" i="54"/>
  <c r="F32" i="41" s="1"/>
  <c r="R36" i="54"/>
  <c r="D40" i="43" s="1"/>
  <c r="E34" i="54"/>
  <c r="X33" i="54"/>
  <c r="F31" i="41" s="1"/>
  <c r="D39" i="43"/>
  <c r="X32" i="54"/>
  <c r="F30" i="41" s="1"/>
  <c r="D38" i="43"/>
  <c r="E32" i="54"/>
  <c r="X31" i="54"/>
  <c r="F29" i="41" s="1"/>
  <c r="X30" i="54"/>
  <c r="F28" i="41" s="1"/>
  <c r="X29" i="54"/>
  <c r="F27" i="41" s="1"/>
  <c r="X28" i="54"/>
  <c r="F26" i="41" s="1"/>
  <c r="X27" i="54"/>
  <c r="F25" i="41" s="1"/>
  <c r="X26" i="54"/>
  <c r="F24" i="41" s="1"/>
  <c r="X25" i="54"/>
  <c r="F23" i="41" s="1"/>
  <c r="D34" i="43"/>
  <c r="P25" i="54"/>
  <c r="X24" i="54"/>
  <c r="F22" i="41" s="1"/>
  <c r="R24" i="54"/>
  <c r="P24" i="54"/>
  <c r="X23" i="54"/>
  <c r="F21" i="41" s="1"/>
  <c r="R23" i="54"/>
  <c r="D25" i="43" s="1"/>
  <c r="X22" i="54"/>
  <c r="F20" i="41" s="1"/>
  <c r="X21" i="54"/>
  <c r="F19" i="41" s="1"/>
  <c r="X20" i="54"/>
  <c r="F18" i="41" s="1"/>
  <c r="X19" i="54"/>
  <c r="F17" i="41" s="1"/>
  <c r="X18" i="54"/>
  <c r="F16" i="41" s="1"/>
  <c r="X17" i="54"/>
  <c r="F15" i="41" s="1"/>
  <c r="H17" i="54"/>
  <c r="C17" i="54"/>
  <c r="B17" i="54"/>
  <c r="A17" i="54"/>
  <c r="X16" i="54"/>
  <c r="F14" i="41" s="1"/>
  <c r="H16" i="54"/>
  <c r="C16" i="54"/>
  <c r="B16" i="54"/>
  <c r="A16" i="54"/>
  <c r="X15" i="54"/>
  <c r="F13" i="41" s="1"/>
  <c r="H15" i="54"/>
  <c r="C15" i="54"/>
  <c r="B15" i="54"/>
  <c r="A15" i="54"/>
  <c r="X14" i="54"/>
  <c r="F12" i="41" s="1"/>
  <c r="H14" i="54"/>
  <c r="C14" i="54"/>
  <c r="B14" i="54"/>
  <c r="A14" i="54"/>
  <c r="X13" i="54"/>
  <c r="F11" i="41" s="1"/>
  <c r="H13" i="54"/>
  <c r="C13" i="54"/>
  <c r="B13" i="54"/>
  <c r="A13" i="54"/>
  <c r="X12" i="54"/>
  <c r="F10" i="41" s="1"/>
  <c r="R12" i="54"/>
  <c r="R15" i="54" s="1"/>
  <c r="T22" i="54" s="1"/>
  <c r="F32" i="43" s="1"/>
  <c r="H12" i="54"/>
  <c r="C12" i="54"/>
  <c r="B12" i="54"/>
  <c r="A12" i="54"/>
  <c r="X11" i="54"/>
  <c r="F9" i="41" s="1"/>
  <c r="X10" i="54"/>
  <c r="F8" i="41" s="1"/>
  <c r="X9" i="54"/>
  <c r="F7" i="41" s="1"/>
  <c r="X8" i="54"/>
  <c r="F6" i="41" s="1"/>
  <c r="X7" i="54"/>
  <c r="F5" i="41" s="1"/>
  <c r="X6" i="54"/>
  <c r="F4" i="41" s="1"/>
  <c r="X5" i="54"/>
  <c r="F3" i="41" s="1"/>
  <c r="Y4" i="54"/>
  <c r="Y5" i="54" s="1"/>
  <c r="Y6" i="54" s="1"/>
  <c r="Y7" i="54" s="1"/>
  <c r="Y8" i="54" s="1"/>
  <c r="Y9" i="54" s="1"/>
  <c r="Y10" i="54" s="1"/>
  <c r="Y11" i="54" s="1"/>
  <c r="Y12" i="54" s="1"/>
  <c r="Y13" i="54" s="1"/>
  <c r="Y14" i="54" s="1"/>
  <c r="Y15" i="54" s="1"/>
  <c r="Y16" i="54" s="1"/>
  <c r="Y17" i="54" s="1"/>
  <c r="Y18" i="54" s="1"/>
  <c r="Y19" i="54" s="1"/>
  <c r="Y20" i="54" s="1"/>
  <c r="Y21" i="54" s="1"/>
  <c r="Y22" i="54" s="1"/>
  <c r="Y23" i="54" s="1"/>
  <c r="Y24" i="54" s="1"/>
  <c r="Y25" i="54" s="1"/>
  <c r="Y26" i="54" s="1"/>
  <c r="Y27" i="54" s="1"/>
  <c r="Y28" i="54" s="1"/>
  <c r="Y29" i="54" s="1"/>
  <c r="Y30" i="54" s="1"/>
  <c r="Y31" i="54" s="1"/>
  <c r="Y32" i="54" s="1"/>
  <c r="Y33" i="54" s="1"/>
  <c r="Y34" i="54" s="1"/>
  <c r="Y35" i="54" s="1"/>
  <c r="Y36" i="54" s="1"/>
  <c r="Y39" i="54" s="1"/>
  <c r="Y40" i="54" s="1"/>
  <c r="X4" i="54"/>
  <c r="F2" i="41" s="1"/>
  <c r="X3" i="54"/>
  <c r="F1" i="41" s="1"/>
  <c r="I2" i="54"/>
  <c r="E28" i="46"/>
  <c r="C28" i="46"/>
  <c r="D35" i="43" s="1"/>
  <c r="B15" i="46"/>
  <c r="D11" i="46"/>
  <c r="B7" i="46"/>
  <c r="B49" i="46"/>
  <c r="E3" i="46"/>
  <c r="D44" i="46" s="1"/>
  <c r="E49" i="46"/>
  <c r="B52" i="44"/>
  <c r="E30" i="44"/>
  <c r="B15" i="44"/>
  <c r="B14" i="44"/>
  <c r="B13" i="44"/>
  <c r="B12" i="44"/>
  <c r="C5" i="44"/>
  <c r="D2" i="44"/>
  <c r="D2" i="46" s="1"/>
  <c r="B2" i="44"/>
  <c r="B2" i="46" s="1"/>
  <c r="F45" i="43"/>
  <c r="C45" i="43"/>
  <c r="C29" i="43"/>
  <c r="B29" i="43"/>
  <c r="C28" i="43"/>
  <c r="B28" i="43"/>
  <c r="C27" i="43"/>
  <c r="B27" i="43"/>
  <c r="C26" i="43"/>
  <c r="B26" i="43"/>
  <c r="C25" i="43"/>
  <c r="C8" i="43"/>
  <c r="D7" i="43"/>
  <c r="B6" i="43"/>
  <c r="G4" i="43"/>
  <c r="G2" i="43"/>
  <c r="D2" i="43"/>
  <c r="B2" i="43"/>
  <c r="F4" i="23"/>
  <c r="G2" i="23"/>
  <c r="B2" i="23"/>
  <c r="H125" i="34"/>
  <c r="B125" i="34"/>
  <c r="E9" i="34"/>
  <c r="E72" i="34" s="1"/>
  <c r="K68" i="34"/>
  <c r="J38" i="27"/>
  <c r="R35" i="27"/>
  <c r="O35" i="27"/>
  <c r="O4" i="27"/>
  <c r="K396" i="26"/>
  <c r="K330" i="26"/>
  <c r="K264" i="26"/>
  <c r="H63" i="26"/>
  <c r="B63" i="26"/>
  <c r="B53" i="26"/>
  <c r="H7" i="26"/>
  <c r="E7" i="26"/>
  <c r="K5" i="26"/>
  <c r="B9" i="44" s="1"/>
  <c r="E4" i="26"/>
  <c r="E66" i="26" s="1"/>
  <c r="E131" i="26" s="1"/>
  <c r="E197" i="26" s="1"/>
  <c r="E263" i="26" s="1"/>
  <c r="E329" i="26" s="1"/>
  <c r="E3" i="26"/>
  <c r="E65" i="26" s="1"/>
  <c r="E130" i="26" s="1"/>
  <c r="E196" i="26" s="1"/>
  <c r="E262" i="26" s="1"/>
  <c r="E328" i="26" s="1"/>
  <c r="I60" i="63"/>
  <c r="D60" i="63"/>
  <c r="I59" i="63"/>
  <c r="D59" i="63"/>
  <c r="I58" i="63"/>
  <c r="D58" i="63"/>
  <c r="I57" i="63"/>
  <c r="D57" i="63"/>
  <c r="I56" i="63"/>
  <c r="D56" i="63"/>
  <c r="I55" i="63"/>
  <c r="D55" i="63"/>
  <c r="K9" i="63"/>
  <c r="E9" i="63"/>
  <c r="E8" i="63"/>
  <c r="K7" i="63"/>
  <c r="H7" i="63"/>
  <c r="E7" i="63"/>
  <c r="E6" i="63"/>
  <c r="K5" i="63"/>
  <c r="H5" i="63"/>
  <c r="E5" i="63"/>
  <c r="E4" i="63"/>
  <c r="E3" i="63"/>
  <c r="K2" i="63"/>
  <c r="T50" i="1"/>
  <c r="K50" i="1"/>
  <c r="B50" i="1"/>
  <c r="T49" i="1"/>
  <c r="K49" i="1"/>
  <c r="B49" i="1"/>
  <c r="T48" i="1"/>
  <c r="K48" i="1"/>
  <c r="B48" i="1"/>
  <c r="K47" i="1"/>
  <c r="R7" i="1"/>
  <c r="D15" i="43" s="1"/>
  <c r="D16" i="43" s="1"/>
  <c r="G7" i="1"/>
  <c r="V5" i="1"/>
  <c r="P5" i="1"/>
  <c r="P4" i="1"/>
  <c r="K200" i="26" s="1"/>
  <c r="T3" i="1"/>
  <c r="B3" i="1"/>
  <c r="T2" i="1"/>
  <c r="B2" i="1"/>
  <c r="V1" i="1"/>
  <c r="T1" i="1"/>
  <c r="P1" i="1"/>
  <c r="K1" i="1"/>
  <c r="I18" i="69" s="1"/>
  <c r="G55" i="31"/>
  <c r="B55" i="31"/>
  <c r="C47" i="45"/>
  <c r="C46" i="45"/>
  <c r="C45" i="45"/>
  <c r="C44" i="45"/>
  <c r="C43" i="45"/>
  <c r="D35" i="63"/>
  <c r="E199" i="26"/>
  <c r="D419" i="26"/>
  <c r="H31" i="54" l="1"/>
  <c r="L101" i="55" s="1"/>
  <c r="O103" i="55" s="1"/>
  <c r="K105" i="55" s="1"/>
  <c r="F71" i="41"/>
  <c r="E47" i="1"/>
  <c r="D41" i="43"/>
  <c r="D17" i="43"/>
  <c r="E136" i="26"/>
  <c r="E9" i="26"/>
  <c r="T49" i="54"/>
  <c r="E61" i="54"/>
  <c r="F72" i="41"/>
  <c r="D63" i="26"/>
  <c r="M24" i="54"/>
  <c r="R27" i="54" s="1"/>
  <c r="C13" i="44" s="1"/>
  <c r="D27" i="43" s="1"/>
  <c r="C47" i="26"/>
  <c r="C51" i="26"/>
  <c r="C48" i="26"/>
  <c r="C52" i="26"/>
  <c r="C49" i="26"/>
  <c r="H35" i="63"/>
  <c r="C50" i="26"/>
  <c r="K400" i="26"/>
  <c r="K268" i="26"/>
  <c r="K136" i="26"/>
  <c r="K9" i="26"/>
  <c r="K72" i="34"/>
  <c r="K334" i="26"/>
  <c r="K202" i="26"/>
  <c r="K71" i="26"/>
  <c r="K9" i="34"/>
  <c r="I28" i="26"/>
  <c r="B136" i="26"/>
  <c r="B400" i="26"/>
  <c r="E14" i="43"/>
  <c r="G14" i="43" s="1"/>
  <c r="T24" i="54"/>
  <c r="F33" i="43" s="1"/>
  <c r="T25" i="54"/>
  <c r="F34" i="43" s="1"/>
  <c r="D7" i="1"/>
  <c r="F16" i="43" s="1"/>
  <c r="D53" i="43" s="1"/>
  <c r="R48" i="54"/>
  <c r="R49" i="54" s="1"/>
  <c r="C35" i="43"/>
  <c r="E8" i="26"/>
  <c r="B71" i="26"/>
  <c r="E135" i="26"/>
  <c r="E201" i="26"/>
  <c r="B334" i="26"/>
  <c r="E6" i="34"/>
  <c r="E69" i="34" s="1"/>
  <c r="E68" i="26"/>
  <c r="E397" i="26"/>
  <c r="E3" i="34"/>
  <c r="E66" i="34" s="1"/>
  <c r="E8" i="34"/>
  <c r="E71" i="34" s="1"/>
  <c r="E70" i="34"/>
  <c r="C125" i="34"/>
  <c r="E6" i="26"/>
  <c r="I63" i="26"/>
  <c r="E69" i="26"/>
  <c r="B268" i="26"/>
  <c r="E331" i="26"/>
  <c r="E394" i="26"/>
  <c r="E4" i="34"/>
  <c r="E67" i="34" s="1"/>
  <c r="B72" i="34"/>
  <c r="E133" i="26"/>
  <c r="E395" i="26"/>
  <c r="C3" i="27"/>
  <c r="I36" i="27"/>
  <c r="E71" i="26"/>
  <c r="B2" i="31"/>
  <c r="E5" i="26"/>
  <c r="E70" i="26"/>
  <c r="B202" i="26"/>
  <c r="E265" i="26"/>
  <c r="E268" i="26"/>
  <c r="E330" i="26"/>
  <c r="E333" i="26"/>
  <c r="E396" i="26"/>
  <c r="E399" i="26"/>
  <c r="I35" i="27"/>
  <c r="I37" i="27"/>
  <c r="E5" i="34"/>
  <c r="E68" i="34" s="1"/>
  <c r="E7" i="34"/>
  <c r="B9" i="34"/>
  <c r="E334" i="26"/>
  <c r="E400" i="26"/>
  <c r="D433" i="26" s="1"/>
  <c r="H70" i="34"/>
  <c r="F2" i="31"/>
  <c r="K67" i="26"/>
  <c r="K198" i="26" s="1"/>
  <c r="K132" i="26"/>
  <c r="E202" i="26"/>
  <c r="E267" i="26"/>
  <c r="H7" i="34"/>
  <c r="K7" i="34"/>
  <c r="K70" i="34" s="1"/>
  <c r="K7" i="26"/>
  <c r="K69" i="26"/>
  <c r="S36" i="27"/>
  <c r="I4" i="31"/>
  <c r="I8" i="1" l="1"/>
  <c r="N8" i="1"/>
  <c r="E35" i="26" s="1"/>
  <c r="T32" i="54"/>
  <c r="F36" i="43" s="1"/>
  <c r="T33" i="54"/>
  <c r="F37" i="43" s="1"/>
  <c r="I28" i="63"/>
  <c r="R28" i="54"/>
  <c r="C14" i="44" s="1"/>
  <c r="D28" i="43" s="1"/>
  <c r="C55" i="31"/>
  <c r="E67" i="26"/>
  <c r="E132" i="26" s="1"/>
  <c r="E198" i="26" s="1"/>
  <c r="E264" i="26" s="1"/>
  <c r="E420" i="26"/>
  <c r="R14" i="54"/>
  <c r="F15" i="43"/>
  <c r="G15" i="43" s="1"/>
  <c r="G16" i="43" s="1"/>
  <c r="T44" i="54"/>
  <c r="R44" i="54" s="1"/>
  <c r="R18" i="54"/>
  <c r="T18" i="54" s="1"/>
  <c r="T19" i="54" s="1"/>
  <c r="D6" i="1"/>
  <c r="B4" i="56" s="1"/>
  <c r="R4" i="1"/>
  <c r="C52" i="43" s="1"/>
  <c r="B54" i="43" s="1"/>
  <c r="T41" i="54"/>
  <c r="D14" i="46"/>
  <c r="G9" i="43"/>
  <c r="E9" i="44"/>
  <c r="D47" i="44" s="1"/>
  <c r="G7" i="43"/>
  <c r="K398" i="26"/>
  <c r="K332" i="26"/>
  <c r="K266" i="26"/>
  <c r="K134" i="26"/>
  <c r="I413" i="26"/>
  <c r="H122" i="34" s="1"/>
  <c r="E35" i="63" l="1"/>
  <c r="B35" i="26"/>
  <c r="B35" i="63"/>
  <c r="C53" i="43"/>
  <c r="E46" i="43" s="1"/>
  <c r="I34" i="26"/>
  <c r="I34" i="63"/>
  <c r="E7" i="23"/>
  <c r="F7" i="23" s="1"/>
  <c r="F45" i="23" s="1"/>
  <c r="E47" i="23" s="1"/>
  <c r="B4" i="57"/>
  <c r="B30" i="57" s="1"/>
  <c r="T14" i="54"/>
  <c r="T13" i="54" s="1"/>
  <c r="T23" i="54"/>
  <c r="R13" i="54" s="1"/>
  <c r="R19" i="54"/>
  <c r="B45" i="43" s="1"/>
  <c r="L22" i="45"/>
  <c r="L22" i="26"/>
  <c r="L22" i="63"/>
  <c r="B4" i="55"/>
  <c r="B26" i="55" s="1"/>
  <c r="B37" i="56"/>
  <c r="B33" i="56"/>
  <c r="B38" i="56"/>
  <c r="B34" i="56"/>
  <c r="B30" i="56"/>
  <c r="B39" i="56"/>
  <c r="B31" i="56"/>
  <c r="B28" i="56"/>
  <c r="B24" i="56"/>
  <c r="B20" i="56"/>
  <c r="B16" i="56"/>
  <c r="B12" i="56"/>
  <c r="B8" i="56"/>
  <c r="E4" i="56"/>
  <c r="B36" i="56"/>
  <c r="B29" i="56"/>
  <c r="B25" i="56"/>
  <c r="B21" i="56"/>
  <c r="B17" i="56"/>
  <c r="B13" i="56"/>
  <c r="B9" i="56"/>
  <c r="B5" i="56"/>
  <c r="I4" i="56"/>
  <c r="B26" i="56"/>
  <c r="B18" i="56"/>
  <c r="B10" i="56"/>
  <c r="B23" i="56"/>
  <c r="B15" i="56"/>
  <c r="B7" i="56"/>
  <c r="B35" i="56"/>
  <c r="B22" i="56"/>
  <c r="B14" i="56"/>
  <c r="B6" i="56"/>
  <c r="B32" i="56"/>
  <c r="B27" i="56"/>
  <c r="B19" i="56"/>
  <c r="B11" i="56"/>
  <c r="C9" i="44" l="1"/>
  <c r="D15" i="46"/>
  <c r="D28" i="46" s="1"/>
  <c r="H59" i="63"/>
  <c r="B56" i="63"/>
  <c r="H56" i="63"/>
  <c r="B57" i="63"/>
  <c r="B59" i="63"/>
  <c r="H60" i="63"/>
  <c r="B55" i="63"/>
  <c r="H55" i="63"/>
  <c r="B58" i="63"/>
  <c r="H57" i="63"/>
  <c r="H58" i="63"/>
  <c r="B60" i="63"/>
  <c r="T40" i="54"/>
  <c r="T36" i="54"/>
  <c r="F40" i="43" s="1"/>
  <c r="T35" i="54"/>
  <c r="T39" i="54"/>
  <c r="T31" i="54"/>
  <c r="T34" i="54"/>
  <c r="T38" i="54"/>
  <c r="P3" i="1" s="1"/>
  <c r="T37" i="54"/>
  <c r="F41" i="43" s="1"/>
  <c r="D45" i="43"/>
  <c r="E45" i="23"/>
  <c r="G45" i="23" s="1"/>
  <c r="H28" i="26"/>
  <c r="B38" i="55"/>
  <c r="E38" i="55" s="1"/>
  <c r="B28" i="55"/>
  <c r="E28" i="55" s="1"/>
  <c r="I4" i="55"/>
  <c r="Y4" i="55" s="1"/>
  <c r="D11" i="1" s="1"/>
  <c r="F11" i="1" s="1"/>
  <c r="B31" i="55"/>
  <c r="I31" i="55" s="1"/>
  <c r="B24" i="55"/>
  <c r="E24" i="55" s="1"/>
  <c r="B19" i="55"/>
  <c r="E19" i="55" s="1"/>
  <c r="B6" i="55"/>
  <c r="I6" i="55" s="1"/>
  <c r="B30" i="55"/>
  <c r="I30" i="55" s="1"/>
  <c r="B21" i="55"/>
  <c r="E21" i="55" s="1"/>
  <c r="B17" i="55"/>
  <c r="E17" i="55" s="1"/>
  <c r="B39" i="55"/>
  <c r="E39" i="55" s="1"/>
  <c r="E4" i="57"/>
  <c r="B8" i="55"/>
  <c r="I8" i="55" s="1"/>
  <c r="B33" i="55"/>
  <c r="E33" i="55" s="1"/>
  <c r="B18" i="55"/>
  <c r="I18" i="55" s="1"/>
  <c r="B18" i="57"/>
  <c r="I18" i="57" s="1"/>
  <c r="B13" i="57"/>
  <c r="I13" i="57" s="1"/>
  <c r="B28" i="57"/>
  <c r="E28" i="57" s="1"/>
  <c r="B34" i="57"/>
  <c r="I34" i="57" s="1"/>
  <c r="B32" i="57"/>
  <c r="E32" i="57" s="1"/>
  <c r="B19" i="57"/>
  <c r="E19" i="57" s="1"/>
  <c r="B9" i="57"/>
  <c r="I9" i="57" s="1"/>
  <c r="B35" i="57"/>
  <c r="E35" i="57" s="1"/>
  <c r="B24" i="57"/>
  <c r="E24" i="57" s="1"/>
  <c r="B29" i="57"/>
  <c r="E29" i="57" s="1"/>
  <c r="B37" i="57"/>
  <c r="E37" i="57" s="1"/>
  <c r="B17" i="57"/>
  <c r="E17" i="57" s="1"/>
  <c r="B8" i="57"/>
  <c r="I8" i="57" s="1"/>
  <c r="B36" i="57"/>
  <c r="E36" i="57" s="1"/>
  <c r="B23" i="57"/>
  <c r="I23" i="57" s="1"/>
  <c r="B39" i="57"/>
  <c r="E39" i="57" s="1"/>
  <c r="B22" i="57"/>
  <c r="I22" i="57" s="1"/>
  <c r="B38" i="57"/>
  <c r="E38" i="57" s="1"/>
  <c r="B7" i="57"/>
  <c r="E7" i="57" s="1"/>
  <c r="B6" i="57"/>
  <c r="I6" i="57" s="1"/>
  <c r="I4" i="57"/>
  <c r="B25" i="57"/>
  <c r="E25" i="57" s="1"/>
  <c r="B12" i="57"/>
  <c r="E12" i="57" s="1"/>
  <c r="B11" i="57"/>
  <c r="I11" i="57" s="1"/>
  <c r="B27" i="57"/>
  <c r="E27" i="57" s="1"/>
  <c r="B10" i="57"/>
  <c r="E10" i="57" s="1"/>
  <c r="B26" i="57"/>
  <c r="I26" i="57" s="1"/>
  <c r="B21" i="57"/>
  <c r="I21" i="57" s="1"/>
  <c r="B16" i="57"/>
  <c r="E16" i="57" s="1"/>
  <c r="B5" i="57"/>
  <c r="E5" i="57" s="1"/>
  <c r="B33" i="57"/>
  <c r="I33" i="57" s="1"/>
  <c r="B20" i="57"/>
  <c r="E20" i="57" s="1"/>
  <c r="B15" i="57"/>
  <c r="E15" i="57" s="1"/>
  <c r="B31" i="57"/>
  <c r="E31" i="57" s="1"/>
  <c r="B14" i="57"/>
  <c r="I14" i="57" s="1"/>
  <c r="F25" i="43"/>
  <c r="B5" i="55"/>
  <c r="E5" i="55" s="1"/>
  <c r="B13" i="55"/>
  <c r="E13" i="55" s="1"/>
  <c r="E4" i="55"/>
  <c r="B36" i="55"/>
  <c r="E36" i="55" s="1"/>
  <c r="B15" i="55"/>
  <c r="E15" i="55" s="1"/>
  <c r="B35" i="55"/>
  <c r="I35" i="55" s="1"/>
  <c r="B22" i="55"/>
  <c r="I22" i="55" s="1"/>
  <c r="B32" i="55"/>
  <c r="E32" i="55" s="1"/>
  <c r="B29" i="55"/>
  <c r="E29" i="55" s="1"/>
  <c r="B20" i="55"/>
  <c r="I20" i="55" s="1"/>
  <c r="B25" i="55"/>
  <c r="E25" i="55" s="1"/>
  <c r="B23" i="55"/>
  <c r="E23" i="55" s="1"/>
  <c r="B14" i="55"/>
  <c r="I14" i="55" s="1"/>
  <c r="B34" i="55"/>
  <c r="I34" i="55" s="1"/>
  <c r="B16" i="55"/>
  <c r="E16" i="55" s="1"/>
  <c r="B7" i="55"/>
  <c r="E7" i="55" s="1"/>
  <c r="B37" i="55"/>
  <c r="I37" i="55" s="1"/>
  <c r="B12" i="55"/>
  <c r="I12" i="55" s="1"/>
  <c r="B9" i="55"/>
  <c r="I9" i="55" s="1"/>
  <c r="B11" i="55"/>
  <c r="E11" i="55" s="1"/>
  <c r="B27" i="55"/>
  <c r="E27" i="55" s="1"/>
  <c r="B10" i="55"/>
  <c r="I10" i="55" s="1"/>
  <c r="F17" i="43"/>
  <c r="G17" i="43" s="1"/>
  <c r="F39" i="43"/>
  <c r="E11" i="46"/>
  <c r="F38" i="43"/>
  <c r="T15" i="54"/>
  <c r="R22" i="54" s="1"/>
  <c r="D32" i="43" s="1"/>
  <c r="H28" i="63"/>
  <c r="I11" i="56"/>
  <c r="E11" i="56"/>
  <c r="E7" i="56"/>
  <c r="I7" i="56"/>
  <c r="E9" i="56"/>
  <c r="I9" i="56"/>
  <c r="I24" i="56"/>
  <c r="E24" i="56"/>
  <c r="I37" i="56"/>
  <c r="E37" i="56"/>
  <c r="G7" i="23"/>
  <c r="G8" i="23" s="1"/>
  <c r="I26" i="55"/>
  <c r="E26" i="55"/>
  <c r="I30" i="57"/>
  <c r="E30" i="57"/>
  <c r="I19" i="56"/>
  <c r="E19" i="56"/>
  <c r="E14" i="56"/>
  <c r="I14" i="56"/>
  <c r="E15" i="56"/>
  <c r="I15" i="56"/>
  <c r="E26" i="56"/>
  <c r="I26" i="56"/>
  <c r="E13" i="56"/>
  <c r="I13" i="56"/>
  <c r="E29" i="56"/>
  <c r="I29" i="56"/>
  <c r="I12" i="56"/>
  <c r="E12" i="56"/>
  <c r="I28" i="56"/>
  <c r="E28" i="56"/>
  <c r="E34" i="56"/>
  <c r="I34" i="56"/>
  <c r="E6" i="56"/>
  <c r="I6" i="56"/>
  <c r="E18" i="56"/>
  <c r="I18" i="56"/>
  <c r="E25" i="56"/>
  <c r="I25" i="56"/>
  <c r="I8" i="56"/>
  <c r="E8" i="56"/>
  <c r="E30" i="56"/>
  <c r="I30" i="56"/>
  <c r="I27" i="56"/>
  <c r="E27" i="56"/>
  <c r="E22" i="56"/>
  <c r="I22" i="56"/>
  <c r="E23" i="56"/>
  <c r="I23" i="56"/>
  <c r="E17" i="56"/>
  <c r="I17" i="56"/>
  <c r="E36" i="56"/>
  <c r="I36" i="56"/>
  <c r="I16" i="56"/>
  <c r="E16" i="56"/>
  <c r="E31" i="56"/>
  <c r="I31" i="56"/>
  <c r="E38" i="56"/>
  <c r="I38" i="56"/>
  <c r="I32" i="56"/>
  <c r="E32" i="56"/>
  <c r="E35" i="56"/>
  <c r="I35" i="56"/>
  <c r="E10" i="56"/>
  <c r="I10" i="56"/>
  <c r="E5" i="56"/>
  <c r="I5" i="56"/>
  <c r="E21" i="56"/>
  <c r="I21" i="56"/>
  <c r="I20" i="56"/>
  <c r="E20" i="56"/>
  <c r="E39" i="56"/>
  <c r="I39" i="56"/>
  <c r="I33" i="56"/>
  <c r="E33" i="56"/>
  <c r="D30" i="46" l="1"/>
  <c r="F35" i="43"/>
  <c r="F42" i="43"/>
  <c r="I19" i="57"/>
  <c r="E8" i="55"/>
  <c r="I10" i="57"/>
  <c r="I21" i="55"/>
  <c r="E14" i="55"/>
  <c r="I31" i="57"/>
  <c r="I38" i="55"/>
  <c r="I29" i="57"/>
  <c r="E13" i="57"/>
  <c r="I38" i="57"/>
  <c r="Z4" i="55"/>
  <c r="E6" i="55"/>
  <c r="I25" i="57"/>
  <c r="I36" i="57"/>
  <c r="I39" i="55"/>
  <c r="E31" i="55"/>
  <c r="E18" i="55"/>
  <c r="I24" i="55"/>
  <c r="I5" i="57"/>
  <c r="I27" i="55"/>
  <c r="I29" i="55"/>
  <c r="I28" i="55"/>
  <c r="E9" i="57"/>
  <c r="I15" i="55"/>
  <c r="I12" i="57"/>
  <c r="E37" i="55"/>
  <c r="I5" i="55"/>
  <c r="E12" i="55"/>
  <c r="I19" i="55"/>
  <c r="E35" i="55"/>
  <c r="I37" i="57"/>
  <c r="E33" i="57"/>
  <c r="E23" i="57"/>
  <c r="I17" i="55"/>
  <c r="I7" i="57"/>
  <c r="E10" i="55"/>
  <c r="R41" i="54"/>
  <c r="I33" i="55"/>
  <c r="E34" i="55"/>
  <c r="I13" i="55"/>
  <c r="E20" i="55"/>
  <c r="E30" i="55"/>
  <c r="I15" i="57"/>
  <c r="E11" i="57"/>
  <c r="E22" i="57"/>
  <c r="I32" i="57"/>
  <c r="I23" i="55"/>
  <c r="E18" i="57"/>
  <c r="I24" i="57"/>
  <c r="E34" i="57"/>
  <c r="I35" i="57"/>
  <c r="I28" i="57"/>
  <c r="E26" i="57"/>
  <c r="E14" i="57"/>
  <c r="E6" i="57"/>
  <c r="I11" i="55"/>
  <c r="I27" i="57"/>
  <c r="E8" i="57"/>
  <c r="I32" i="55"/>
  <c r="I16" i="57"/>
  <c r="I7" i="55"/>
  <c r="I36" i="55"/>
  <c r="I25" i="55"/>
  <c r="I16" i="55"/>
  <c r="I39" i="57"/>
  <c r="I17" i="57"/>
  <c r="E22" i="55"/>
  <c r="I20" i="57"/>
  <c r="E21" i="57"/>
  <c r="E9" i="55"/>
  <c r="L3" i="1"/>
  <c r="L39" i="57"/>
  <c r="M39" i="57" s="1"/>
  <c r="O39" i="57" s="1"/>
  <c r="F36" i="57"/>
  <c r="G36" i="57" s="1"/>
  <c r="L35" i="57"/>
  <c r="M35" i="57" s="1"/>
  <c r="O35" i="57" s="1"/>
  <c r="F32" i="57"/>
  <c r="G32" i="57" s="1"/>
  <c r="L31" i="57"/>
  <c r="M31" i="57" s="1"/>
  <c r="O31" i="57" s="1"/>
  <c r="F28" i="57"/>
  <c r="G28" i="57" s="1"/>
  <c r="L27" i="57"/>
  <c r="M27" i="57" s="1"/>
  <c r="O27" i="57" s="1"/>
  <c r="F24" i="57"/>
  <c r="G24" i="57" s="1"/>
  <c r="L23" i="57"/>
  <c r="M23" i="57" s="1"/>
  <c r="O23" i="57" s="1"/>
  <c r="F20" i="57"/>
  <c r="G20" i="57" s="1"/>
  <c r="L19" i="57"/>
  <c r="M19" i="57" s="1"/>
  <c r="O19" i="57" s="1"/>
  <c r="F16" i="57"/>
  <c r="G16" i="57" s="1"/>
  <c r="L15" i="57"/>
  <c r="M15" i="57" s="1"/>
  <c r="O15" i="57" s="1"/>
  <c r="F12" i="57"/>
  <c r="G12" i="57" s="1"/>
  <c r="L11" i="57"/>
  <c r="M11" i="57" s="1"/>
  <c r="O11" i="57" s="1"/>
  <c r="F37" i="57"/>
  <c r="G37" i="57" s="1"/>
  <c r="L36" i="57"/>
  <c r="M36" i="57" s="1"/>
  <c r="O36" i="57" s="1"/>
  <c r="F33" i="57"/>
  <c r="G33" i="57" s="1"/>
  <c r="L32" i="57"/>
  <c r="M32" i="57" s="1"/>
  <c r="O32" i="57" s="1"/>
  <c r="F29" i="57"/>
  <c r="G29" i="57" s="1"/>
  <c r="L28" i="57"/>
  <c r="M28" i="57" s="1"/>
  <c r="O28" i="57" s="1"/>
  <c r="F25" i="57"/>
  <c r="G25" i="57" s="1"/>
  <c r="L24" i="57"/>
  <c r="M24" i="57" s="1"/>
  <c r="O24" i="57" s="1"/>
  <c r="F21" i="57"/>
  <c r="G21" i="57" s="1"/>
  <c r="L20" i="57"/>
  <c r="M20" i="57" s="1"/>
  <c r="O20" i="57" s="1"/>
  <c r="F17" i="57"/>
  <c r="G17" i="57" s="1"/>
  <c r="L16" i="57"/>
  <c r="M16" i="57" s="1"/>
  <c r="O16" i="57" s="1"/>
  <c r="F13" i="57"/>
  <c r="G13" i="57" s="1"/>
  <c r="L12" i="57"/>
  <c r="M12" i="57" s="1"/>
  <c r="O12" i="57" s="1"/>
  <c r="F9" i="57"/>
  <c r="G9" i="57" s="1"/>
  <c r="F38" i="57"/>
  <c r="G38" i="57" s="1"/>
  <c r="L37" i="57"/>
  <c r="M37" i="57" s="1"/>
  <c r="O37" i="57" s="1"/>
  <c r="F30" i="57"/>
  <c r="G30" i="57" s="1"/>
  <c r="L29" i="57"/>
  <c r="M29" i="57" s="1"/>
  <c r="O29" i="57" s="1"/>
  <c r="F22" i="57"/>
  <c r="G22" i="57" s="1"/>
  <c r="L21" i="57"/>
  <c r="M21" i="57" s="1"/>
  <c r="O21" i="57" s="1"/>
  <c r="F14" i="57"/>
  <c r="G14" i="57" s="1"/>
  <c r="L13" i="57"/>
  <c r="M13" i="57" s="1"/>
  <c r="O13" i="57" s="1"/>
  <c r="F6" i="57"/>
  <c r="G6" i="57" s="1"/>
  <c r="L5" i="57"/>
  <c r="M5" i="57" s="1"/>
  <c r="O5" i="57" s="1"/>
  <c r="F35" i="57"/>
  <c r="G35" i="57" s="1"/>
  <c r="L34" i="57"/>
  <c r="M34" i="57" s="1"/>
  <c r="O34" i="57" s="1"/>
  <c r="F27" i="57"/>
  <c r="G27" i="57" s="1"/>
  <c r="L26" i="57"/>
  <c r="M26" i="57" s="1"/>
  <c r="O26" i="57" s="1"/>
  <c r="F19" i="57"/>
  <c r="G19" i="57" s="1"/>
  <c r="L18" i="57"/>
  <c r="M18" i="57" s="1"/>
  <c r="O18" i="57" s="1"/>
  <c r="F11" i="57"/>
  <c r="G11" i="57" s="1"/>
  <c r="L10" i="57"/>
  <c r="M10" i="57" s="1"/>
  <c r="O10" i="57" s="1"/>
  <c r="F7" i="57"/>
  <c r="G7" i="57" s="1"/>
  <c r="L6" i="57"/>
  <c r="M6" i="57" s="1"/>
  <c r="O6" i="57" s="1"/>
  <c r="F34" i="57"/>
  <c r="G34" i="57" s="1"/>
  <c r="L38" i="57"/>
  <c r="M38" i="57" s="1"/>
  <c r="O38" i="57" s="1"/>
  <c r="F31" i="57"/>
  <c r="G31" i="57" s="1"/>
  <c r="L33" i="57"/>
  <c r="M33" i="57" s="1"/>
  <c r="O33" i="57" s="1"/>
  <c r="F26" i="57"/>
  <c r="G26" i="57" s="1"/>
  <c r="L17" i="57"/>
  <c r="M17" i="57" s="1"/>
  <c r="O17" i="57" s="1"/>
  <c r="F10" i="57"/>
  <c r="G10" i="57" s="1"/>
  <c r="F8" i="57"/>
  <c r="G8" i="57" s="1"/>
  <c r="L7" i="57"/>
  <c r="M7" i="57" s="1"/>
  <c r="O7" i="57" s="1"/>
  <c r="F4" i="57"/>
  <c r="G4" i="57" s="1"/>
  <c r="F39" i="57"/>
  <c r="G39" i="57" s="1"/>
  <c r="L30" i="57"/>
  <c r="M30" i="57" s="1"/>
  <c r="O30" i="57" s="1"/>
  <c r="F23" i="57"/>
  <c r="G23" i="57" s="1"/>
  <c r="L14" i="57"/>
  <c r="M14" i="57" s="1"/>
  <c r="O14" i="57" s="1"/>
  <c r="F5" i="57"/>
  <c r="G5" i="57" s="1"/>
  <c r="L4" i="57"/>
  <c r="M4" i="57" s="1"/>
  <c r="O4" i="57" s="1"/>
  <c r="F15" i="57"/>
  <c r="G15" i="57" s="1"/>
  <c r="L25" i="57"/>
  <c r="M25" i="57" s="1"/>
  <c r="O25" i="57" s="1"/>
  <c r="L22" i="57"/>
  <c r="M22" i="57" s="1"/>
  <c r="O22" i="57" s="1"/>
  <c r="L8" i="57"/>
  <c r="M8" i="57" s="1"/>
  <c r="O8" i="57" s="1"/>
  <c r="F18" i="57"/>
  <c r="G18" i="57" s="1"/>
  <c r="L9" i="57"/>
  <c r="M9" i="57" s="1"/>
  <c r="O9" i="57" s="1"/>
  <c r="L39" i="55"/>
  <c r="M39" i="55" s="1"/>
  <c r="O39" i="55" s="1"/>
  <c r="F36" i="55"/>
  <c r="G36" i="55" s="1"/>
  <c r="L35" i="55"/>
  <c r="M35" i="55" s="1"/>
  <c r="O35" i="55" s="1"/>
  <c r="F32" i="55"/>
  <c r="G32" i="55" s="1"/>
  <c r="L31" i="55"/>
  <c r="M31" i="55" s="1"/>
  <c r="O31" i="55" s="1"/>
  <c r="F28" i="55"/>
  <c r="G28" i="55" s="1"/>
  <c r="L27" i="55"/>
  <c r="M27" i="55" s="1"/>
  <c r="O27" i="55" s="1"/>
  <c r="F24" i="55"/>
  <c r="G24" i="55" s="1"/>
  <c r="L23" i="55"/>
  <c r="M23" i="55" s="1"/>
  <c r="O23" i="55" s="1"/>
  <c r="F20" i="55"/>
  <c r="G20" i="55" s="1"/>
  <c r="L19" i="55"/>
  <c r="M19" i="55" s="1"/>
  <c r="O19" i="55" s="1"/>
  <c r="F16" i="55"/>
  <c r="G16" i="55" s="1"/>
  <c r="L15" i="55"/>
  <c r="M15" i="55" s="1"/>
  <c r="O15" i="55" s="1"/>
  <c r="F12" i="55"/>
  <c r="G12" i="55" s="1"/>
  <c r="L11" i="55"/>
  <c r="M11" i="55" s="1"/>
  <c r="O11" i="55" s="1"/>
  <c r="F8" i="55"/>
  <c r="G8" i="55" s="1"/>
  <c r="F37" i="55"/>
  <c r="G37" i="55" s="1"/>
  <c r="L36" i="55"/>
  <c r="M36" i="55" s="1"/>
  <c r="O36" i="55" s="1"/>
  <c r="F33" i="55"/>
  <c r="G33" i="55" s="1"/>
  <c r="L32" i="55"/>
  <c r="M32" i="55" s="1"/>
  <c r="O32" i="55" s="1"/>
  <c r="F29" i="55"/>
  <c r="G29" i="55" s="1"/>
  <c r="L28" i="55"/>
  <c r="M28" i="55" s="1"/>
  <c r="O28" i="55" s="1"/>
  <c r="F25" i="55"/>
  <c r="G25" i="55" s="1"/>
  <c r="L24" i="55"/>
  <c r="M24" i="55" s="1"/>
  <c r="O24" i="55" s="1"/>
  <c r="F21" i="55"/>
  <c r="G21" i="55" s="1"/>
  <c r="L20" i="55"/>
  <c r="M20" i="55" s="1"/>
  <c r="O20" i="55" s="1"/>
  <c r="F17" i="55"/>
  <c r="G17" i="55" s="1"/>
  <c r="L16" i="55"/>
  <c r="M16" i="55" s="1"/>
  <c r="O16" i="55" s="1"/>
  <c r="F13" i="55"/>
  <c r="G13" i="55" s="1"/>
  <c r="L12" i="55"/>
  <c r="M12" i="55" s="1"/>
  <c r="O12" i="55" s="1"/>
  <c r="F9" i="55"/>
  <c r="G9" i="55" s="1"/>
  <c r="L8" i="55"/>
  <c r="M8" i="55" s="1"/>
  <c r="O8" i="55" s="1"/>
  <c r="L37" i="55"/>
  <c r="M37" i="55" s="1"/>
  <c r="O37" i="55" s="1"/>
  <c r="F34" i="55"/>
  <c r="G34" i="55" s="1"/>
  <c r="L29" i="55"/>
  <c r="M29" i="55" s="1"/>
  <c r="O29" i="55" s="1"/>
  <c r="F26" i="55"/>
  <c r="G26" i="55" s="1"/>
  <c r="L38" i="55"/>
  <c r="M38" i="55" s="1"/>
  <c r="O38" i="55" s="1"/>
  <c r="F35" i="55"/>
  <c r="G35" i="55" s="1"/>
  <c r="L30" i="55"/>
  <c r="M30" i="55" s="1"/>
  <c r="O30" i="55" s="1"/>
  <c r="F27" i="55"/>
  <c r="G27" i="55" s="1"/>
  <c r="L22" i="55"/>
  <c r="M22" i="55" s="1"/>
  <c r="O22" i="55" s="1"/>
  <c r="F19" i="55"/>
  <c r="G19" i="55" s="1"/>
  <c r="L14" i="55"/>
  <c r="M14" i="55" s="1"/>
  <c r="O14" i="55" s="1"/>
  <c r="F11" i="55"/>
  <c r="G11" i="55" s="1"/>
  <c r="F7" i="55"/>
  <c r="G7" i="55" s="1"/>
  <c r="L6" i="55"/>
  <c r="M6" i="55" s="1"/>
  <c r="O6" i="55" s="1"/>
  <c r="F38" i="55"/>
  <c r="G38" i="55" s="1"/>
  <c r="L33" i="55"/>
  <c r="M33" i="55" s="1"/>
  <c r="O33" i="55" s="1"/>
  <c r="F30" i="55"/>
  <c r="G30" i="55" s="1"/>
  <c r="L25" i="55"/>
  <c r="M25" i="55" s="1"/>
  <c r="O25" i="55" s="1"/>
  <c r="F22" i="55"/>
  <c r="G22" i="55" s="1"/>
  <c r="L17" i="55"/>
  <c r="M17" i="55" s="1"/>
  <c r="O17" i="55" s="1"/>
  <c r="F14" i="55"/>
  <c r="G14" i="55" s="1"/>
  <c r="L9" i="55"/>
  <c r="M9" i="55" s="1"/>
  <c r="O9" i="55" s="1"/>
  <c r="L7" i="55"/>
  <c r="M7" i="55" s="1"/>
  <c r="O7" i="55" s="1"/>
  <c r="F10" i="55"/>
  <c r="G10" i="55" s="1"/>
  <c r="L5" i="55"/>
  <c r="M5" i="55" s="1"/>
  <c r="O5" i="55" s="1"/>
  <c r="F39" i="55"/>
  <c r="G39" i="55" s="1"/>
  <c r="L34" i="55"/>
  <c r="M34" i="55" s="1"/>
  <c r="O34" i="55" s="1"/>
  <c r="F31" i="55"/>
  <c r="G31" i="55" s="1"/>
  <c r="L26" i="55"/>
  <c r="M26" i="55" s="1"/>
  <c r="O26" i="55" s="1"/>
  <c r="F23" i="55"/>
  <c r="G23" i="55" s="1"/>
  <c r="L18" i="55"/>
  <c r="M18" i="55" s="1"/>
  <c r="O18" i="55" s="1"/>
  <c r="F15" i="55"/>
  <c r="G15" i="55" s="1"/>
  <c r="L10" i="55"/>
  <c r="M10" i="55" s="1"/>
  <c r="O10" i="55" s="1"/>
  <c r="F5" i="55"/>
  <c r="G5" i="55" s="1"/>
  <c r="L21" i="55"/>
  <c r="M21" i="55" s="1"/>
  <c r="O21" i="55" s="1"/>
  <c r="F18" i="55"/>
  <c r="G18" i="55" s="1"/>
  <c r="L13" i="55"/>
  <c r="M13" i="55" s="1"/>
  <c r="O13" i="55" s="1"/>
  <c r="F6" i="55"/>
  <c r="G6" i="55" s="1"/>
  <c r="F4" i="55"/>
  <c r="G4" i="55" s="1"/>
  <c r="L4" i="55"/>
  <c r="M4" i="55" s="1"/>
  <c r="O4" i="55" s="1"/>
  <c r="Z3" i="54"/>
  <c r="F39" i="56"/>
  <c r="G39" i="56" s="1"/>
  <c r="L38" i="56"/>
  <c r="M38" i="56" s="1"/>
  <c r="O38" i="56" s="1"/>
  <c r="F35" i="56"/>
  <c r="G35" i="56" s="1"/>
  <c r="L34" i="56"/>
  <c r="M34" i="56" s="1"/>
  <c r="O34" i="56" s="1"/>
  <c r="F31" i="56"/>
  <c r="G31" i="56" s="1"/>
  <c r="L30" i="56"/>
  <c r="M30" i="56" s="1"/>
  <c r="O30" i="56" s="1"/>
  <c r="L39" i="56"/>
  <c r="M39" i="56" s="1"/>
  <c r="O39" i="56" s="1"/>
  <c r="F36" i="56"/>
  <c r="G36" i="56" s="1"/>
  <c r="L35" i="56"/>
  <c r="M35" i="56" s="1"/>
  <c r="O35" i="56" s="1"/>
  <c r="F32" i="56"/>
  <c r="G32" i="56" s="1"/>
  <c r="L31" i="56"/>
  <c r="M31" i="56" s="1"/>
  <c r="O31" i="56" s="1"/>
  <c r="F33" i="56"/>
  <c r="G33" i="56" s="1"/>
  <c r="L32" i="56"/>
  <c r="M32" i="56" s="1"/>
  <c r="O32" i="56" s="1"/>
  <c r="F26" i="56"/>
  <c r="G26" i="56" s="1"/>
  <c r="L25" i="56"/>
  <c r="M25" i="56" s="1"/>
  <c r="O25" i="56" s="1"/>
  <c r="F22" i="56"/>
  <c r="G22" i="56" s="1"/>
  <c r="L21" i="56"/>
  <c r="M21" i="56" s="1"/>
  <c r="O21" i="56" s="1"/>
  <c r="F18" i="56"/>
  <c r="G18" i="56" s="1"/>
  <c r="L17" i="56"/>
  <c r="M17" i="56" s="1"/>
  <c r="O17" i="56" s="1"/>
  <c r="F14" i="56"/>
  <c r="G14" i="56" s="1"/>
  <c r="L13" i="56"/>
  <c r="M13" i="56" s="1"/>
  <c r="O13" i="56" s="1"/>
  <c r="F10" i="56"/>
  <c r="G10" i="56" s="1"/>
  <c r="L9" i="56"/>
  <c r="M9" i="56" s="1"/>
  <c r="O9" i="56" s="1"/>
  <c r="F6" i="56"/>
  <c r="G6" i="56" s="1"/>
  <c r="L5" i="56"/>
  <c r="M5" i="56" s="1"/>
  <c r="O5" i="56" s="1"/>
  <c r="F38" i="56"/>
  <c r="G38" i="56" s="1"/>
  <c r="L37" i="56"/>
  <c r="M37" i="56" s="1"/>
  <c r="O37" i="56" s="1"/>
  <c r="F30" i="56"/>
  <c r="G30" i="56" s="1"/>
  <c r="L29" i="56"/>
  <c r="M29" i="56" s="1"/>
  <c r="O29" i="56" s="1"/>
  <c r="F27" i="56"/>
  <c r="G27" i="56" s="1"/>
  <c r="L26" i="56"/>
  <c r="M26" i="56" s="1"/>
  <c r="O26" i="56" s="1"/>
  <c r="F23" i="56"/>
  <c r="G23" i="56" s="1"/>
  <c r="L22" i="56"/>
  <c r="M22" i="56" s="1"/>
  <c r="O22" i="56" s="1"/>
  <c r="F19" i="56"/>
  <c r="G19" i="56" s="1"/>
  <c r="L18" i="56"/>
  <c r="M18" i="56" s="1"/>
  <c r="O18" i="56" s="1"/>
  <c r="F15" i="56"/>
  <c r="G15" i="56" s="1"/>
  <c r="L14" i="56"/>
  <c r="M14" i="56" s="1"/>
  <c r="O14" i="56" s="1"/>
  <c r="F11" i="56"/>
  <c r="G11" i="56" s="1"/>
  <c r="L10" i="56"/>
  <c r="M10" i="56" s="1"/>
  <c r="O10" i="56" s="1"/>
  <c r="F7" i="56"/>
  <c r="G7" i="56" s="1"/>
  <c r="L6" i="56"/>
  <c r="M6" i="56" s="1"/>
  <c r="O6" i="56" s="1"/>
  <c r="F37" i="56"/>
  <c r="G37" i="56" s="1"/>
  <c r="F28" i="56"/>
  <c r="G28" i="56" s="1"/>
  <c r="L27" i="56"/>
  <c r="M27" i="56" s="1"/>
  <c r="O27" i="56" s="1"/>
  <c r="F20" i="56"/>
  <c r="G20" i="56" s="1"/>
  <c r="L19" i="56"/>
  <c r="M19" i="56" s="1"/>
  <c r="O19" i="56" s="1"/>
  <c r="F12" i="56"/>
  <c r="G12" i="56" s="1"/>
  <c r="L11" i="56"/>
  <c r="M11" i="56" s="1"/>
  <c r="O11" i="56" s="1"/>
  <c r="F34" i="56"/>
  <c r="G34" i="56" s="1"/>
  <c r="F25" i="56"/>
  <c r="G25" i="56" s="1"/>
  <c r="L24" i="56"/>
  <c r="M24" i="56" s="1"/>
  <c r="O24" i="56" s="1"/>
  <c r="F17" i="56"/>
  <c r="G17" i="56" s="1"/>
  <c r="L16" i="56"/>
  <c r="M16" i="56" s="1"/>
  <c r="O16" i="56" s="1"/>
  <c r="F9" i="56"/>
  <c r="G9" i="56" s="1"/>
  <c r="L8" i="56"/>
  <c r="M8" i="56" s="1"/>
  <c r="O8" i="56" s="1"/>
  <c r="L36" i="56"/>
  <c r="M36" i="56" s="1"/>
  <c r="O36" i="56" s="1"/>
  <c r="F24" i="56"/>
  <c r="G24" i="56" s="1"/>
  <c r="L23" i="56"/>
  <c r="M23" i="56" s="1"/>
  <c r="O23" i="56" s="1"/>
  <c r="F16" i="56"/>
  <c r="G16" i="56" s="1"/>
  <c r="L15" i="56"/>
  <c r="M15" i="56" s="1"/>
  <c r="O15" i="56" s="1"/>
  <c r="F8" i="56"/>
  <c r="G8" i="56" s="1"/>
  <c r="L7" i="56"/>
  <c r="M7" i="56" s="1"/>
  <c r="O7" i="56" s="1"/>
  <c r="F4" i="56"/>
  <c r="G4" i="56" s="1"/>
  <c r="L33" i="56"/>
  <c r="M33" i="56" s="1"/>
  <c r="O33" i="56" s="1"/>
  <c r="F29" i="56"/>
  <c r="G29" i="56" s="1"/>
  <c r="L28" i="56"/>
  <c r="M28" i="56" s="1"/>
  <c r="O28" i="56" s="1"/>
  <c r="F21" i="56"/>
  <c r="G21" i="56" s="1"/>
  <c r="L20" i="56"/>
  <c r="M20" i="56" s="1"/>
  <c r="O20" i="56" s="1"/>
  <c r="F13" i="56"/>
  <c r="G13" i="56" s="1"/>
  <c r="L12" i="56"/>
  <c r="M12" i="56" s="1"/>
  <c r="O12" i="56" s="1"/>
  <c r="F5" i="56"/>
  <c r="G5" i="56" s="1"/>
  <c r="L4" i="56"/>
  <c r="M4" i="56" s="1"/>
  <c r="O4" i="56" s="1"/>
  <c r="P4" i="56" l="1"/>
  <c r="Q4" i="56" s="1"/>
  <c r="R4" i="56" s="1"/>
  <c r="T4" i="56"/>
  <c r="P11" i="1" s="1"/>
  <c r="P18" i="56"/>
  <c r="Q18" i="56" s="1"/>
  <c r="R18" i="56" s="1"/>
  <c r="T18" i="56"/>
  <c r="P25" i="1" s="1"/>
  <c r="P9" i="56"/>
  <c r="Q9" i="56" s="1"/>
  <c r="R9" i="56" s="1"/>
  <c r="T9" i="56"/>
  <c r="P16" i="1" s="1"/>
  <c r="P12" i="56"/>
  <c r="Q12" i="56" s="1"/>
  <c r="R12" i="56" s="1"/>
  <c r="T12" i="56"/>
  <c r="P19" i="1" s="1"/>
  <c r="P28" i="56"/>
  <c r="Q28" i="56" s="1"/>
  <c r="R28" i="56" s="1"/>
  <c r="T28" i="56"/>
  <c r="P35" i="1" s="1"/>
  <c r="P7" i="56"/>
  <c r="Q7" i="56" s="1"/>
  <c r="R7" i="56" s="1"/>
  <c r="T7" i="56"/>
  <c r="P14" i="1" s="1"/>
  <c r="P23" i="56"/>
  <c r="Q23" i="56" s="1"/>
  <c r="R23" i="56" s="1"/>
  <c r="T23" i="56"/>
  <c r="P30" i="1" s="1"/>
  <c r="P19" i="56"/>
  <c r="Q19" i="56" s="1"/>
  <c r="R19" i="56" s="1"/>
  <c r="T19" i="56"/>
  <c r="P26" i="1" s="1"/>
  <c r="P30" i="56"/>
  <c r="Q30" i="56" s="1"/>
  <c r="R30" i="56" s="1"/>
  <c r="T30" i="56"/>
  <c r="P37" i="1" s="1"/>
  <c r="P38" i="56"/>
  <c r="Q38" i="56" s="1"/>
  <c r="R38" i="56" s="1"/>
  <c r="T38" i="56"/>
  <c r="P45" i="1" s="1"/>
  <c r="P4" i="55"/>
  <c r="Q4" i="55" s="1"/>
  <c r="R4" i="55" s="1"/>
  <c r="T4" i="55"/>
  <c r="I11" i="1" s="1"/>
  <c r="P17" i="55"/>
  <c r="Q17" i="55" s="1"/>
  <c r="R17" i="55" s="1"/>
  <c r="T17" i="55"/>
  <c r="I24" i="1" s="1"/>
  <c r="P33" i="55"/>
  <c r="Q33" i="55" s="1"/>
  <c r="R33" i="55" s="1"/>
  <c r="T33" i="55"/>
  <c r="I40" i="1" s="1"/>
  <c r="P8" i="55"/>
  <c r="Q8" i="55" s="1"/>
  <c r="R8" i="55" s="1"/>
  <c r="T8" i="55"/>
  <c r="P16" i="55"/>
  <c r="Q16" i="55" s="1"/>
  <c r="R16" i="55" s="1"/>
  <c r="T16" i="55"/>
  <c r="I23" i="1" s="1"/>
  <c r="P24" i="55"/>
  <c r="Q24" i="55" s="1"/>
  <c r="R24" i="55" s="1"/>
  <c r="T24" i="55"/>
  <c r="I31" i="1" s="1"/>
  <c r="P32" i="55"/>
  <c r="Q32" i="55" s="1"/>
  <c r="R32" i="55" s="1"/>
  <c r="T32" i="55"/>
  <c r="I39" i="1" s="1"/>
  <c r="P9" i="57"/>
  <c r="Q9" i="57" s="1"/>
  <c r="R9" i="57" s="1"/>
  <c r="T9" i="57"/>
  <c r="V16" i="1" s="1"/>
  <c r="P25" i="57"/>
  <c r="Q25" i="57" s="1"/>
  <c r="R25" i="57" s="1"/>
  <c r="T25" i="57"/>
  <c r="V32" i="1" s="1"/>
  <c r="P14" i="57"/>
  <c r="Q14" i="57" s="1"/>
  <c r="R14" i="57" s="1"/>
  <c r="T14" i="57"/>
  <c r="V21" i="1" s="1"/>
  <c r="P17" i="57"/>
  <c r="Q17" i="57" s="1"/>
  <c r="R17" i="57" s="1"/>
  <c r="T17" i="57"/>
  <c r="V24" i="1" s="1"/>
  <c r="P38" i="57"/>
  <c r="Q38" i="57" s="1"/>
  <c r="R38" i="57" s="1"/>
  <c r="T38" i="57"/>
  <c r="V45" i="1" s="1"/>
  <c r="P10" i="57"/>
  <c r="Q10" i="57" s="1"/>
  <c r="R10" i="57" s="1"/>
  <c r="T10" i="57"/>
  <c r="V17" i="1" s="1"/>
  <c r="P26" i="57"/>
  <c r="Q26" i="57" s="1"/>
  <c r="R26" i="57" s="1"/>
  <c r="T26" i="57"/>
  <c r="V33" i="1" s="1"/>
  <c r="P5" i="57"/>
  <c r="Q5" i="57" s="1"/>
  <c r="R5" i="57" s="1"/>
  <c r="T5" i="57"/>
  <c r="V12" i="1" s="1"/>
  <c r="P21" i="57"/>
  <c r="Q21" i="57" s="1"/>
  <c r="R21" i="57" s="1"/>
  <c r="T21" i="57"/>
  <c r="V28" i="1" s="1"/>
  <c r="P37" i="57"/>
  <c r="Q37" i="57" s="1"/>
  <c r="R37" i="57" s="1"/>
  <c r="T37" i="57"/>
  <c r="V44" i="1" s="1"/>
  <c r="P20" i="56"/>
  <c r="Q20" i="56" s="1"/>
  <c r="R20" i="56" s="1"/>
  <c r="T20" i="56"/>
  <c r="P27" i="1" s="1"/>
  <c r="P24" i="56"/>
  <c r="Q24" i="56" s="1"/>
  <c r="R24" i="56" s="1"/>
  <c r="T24" i="56"/>
  <c r="P31" i="1" s="1"/>
  <c r="P10" i="56"/>
  <c r="Q10" i="56" s="1"/>
  <c r="R10" i="56" s="1"/>
  <c r="T10" i="56"/>
  <c r="P17" i="1" s="1"/>
  <c r="P37" i="56"/>
  <c r="Q37" i="56" s="1"/>
  <c r="R37" i="56" s="1"/>
  <c r="T37" i="56"/>
  <c r="P44" i="1" s="1"/>
  <c r="P16" i="56"/>
  <c r="Q16" i="56" s="1"/>
  <c r="R16" i="56" s="1"/>
  <c r="T16" i="56"/>
  <c r="P23" i="1" s="1"/>
  <c r="P6" i="56"/>
  <c r="Q6" i="56" s="1"/>
  <c r="R6" i="56" s="1"/>
  <c r="T6" i="56"/>
  <c r="P13" i="1" s="1"/>
  <c r="P14" i="56"/>
  <c r="Q14" i="56" s="1"/>
  <c r="R14" i="56" s="1"/>
  <c r="T14" i="56"/>
  <c r="P21" i="1" s="1"/>
  <c r="P22" i="56"/>
  <c r="Q22" i="56" s="1"/>
  <c r="R22" i="56" s="1"/>
  <c r="T22" i="56"/>
  <c r="P29" i="1" s="1"/>
  <c r="P29" i="56"/>
  <c r="Q29" i="56" s="1"/>
  <c r="R29" i="56" s="1"/>
  <c r="T29" i="56"/>
  <c r="P36" i="1" s="1"/>
  <c r="P5" i="56"/>
  <c r="Q5" i="56" s="1"/>
  <c r="R5" i="56" s="1"/>
  <c r="T5" i="56"/>
  <c r="P12" i="1" s="1"/>
  <c r="P13" i="56"/>
  <c r="Q13" i="56" s="1"/>
  <c r="R13" i="56" s="1"/>
  <c r="T13" i="56"/>
  <c r="P20" i="1" s="1"/>
  <c r="P21" i="56"/>
  <c r="Q21" i="56" s="1"/>
  <c r="R21" i="56" s="1"/>
  <c r="T21" i="56"/>
  <c r="P28" i="1" s="1"/>
  <c r="P32" i="56"/>
  <c r="Q32" i="56" s="1"/>
  <c r="R32" i="56" s="1"/>
  <c r="T32" i="56"/>
  <c r="P39" i="1" s="1"/>
  <c r="P35" i="56"/>
  <c r="Q35" i="56" s="1"/>
  <c r="R35" i="56" s="1"/>
  <c r="T35" i="56"/>
  <c r="P42" i="1" s="1"/>
  <c r="P21" i="55"/>
  <c r="Q21" i="55" s="1"/>
  <c r="R21" i="55" s="1"/>
  <c r="T21" i="55"/>
  <c r="I28" i="1" s="1"/>
  <c r="T18" i="55"/>
  <c r="I25" i="1" s="1"/>
  <c r="P18" i="55"/>
  <c r="Q18" i="55" s="1"/>
  <c r="R18" i="55" s="1"/>
  <c r="T34" i="55"/>
  <c r="I41" i="1" s="1"/>
  <c r="P34" i="55"/>
  <c r="Q34" i="55" s="1"/>
  <c r="R34" i="55" s="1"/>
  <c r="T7" i="55"/>
  <c r="P7" i="55"/>
  <c r="Q7" i="55" s="1"/>
  <c r="R7" i="55" s="1"/>
  <c r="T14" i="55"/>
  <c r="I21" i="1" s="1"/>
  <c r="P14" i="55"/>
  <c r="Q14" i="55" s="1"/>
  <c r="R14" i="55" s="1"/>
  <c r="T30" i="55"/>
  <c r="I37" i="1" s="1"/>
  <c r="P30" i="55"/>
  <c r="Q30" i="55" s="1"/>
  <c r="R30" i="55" s="1"/>
  <c r="P29" i="55"/>
  <c r="Q29" i="55" s="1"/>
  <c r="R29" i="55" s="1"/>
  <c r="T29" i="55"/>
  <c r="I36" i="1" s="1"/>
  <c r="T11" i="55"/>
  <c r="I18" i="1" s="1"/>
  <c r="P11" i="55"/>
  <c r="Q11" i="55" s="1"/>
  <c r="R11" i="55" s="1"/>
  <c r="T19" i="55"/>
  <c r="I26" i="1" s="1"/>
  <c r="P19" i="55"/>
  <c r="Q19" i="55" s="1"/>
  <c r="R19" i="55" s="1"/>
  <c r="P27" i="55"/>
  <c r="Q27" i="55" s="1"/>
  <c r="R27" i="55" s="1"/>
  <c r="T27" i="55"/>
  <c r="I34" i="1" s="1"/>
  <c r="P35" i="55"/>
  <c r="Q35" i="55" s="1"/>
  <c r="R35" i="55" s="1"/>
  <c r="T35" i="55"/>
  <c r="I42" i="1" s="1"/>
  <c r="P7" i="57"/>
  <c r="Q7" i="57" s="1"/>
  <c r="R7" i="57" s="1"/>
  <c r="T7" i="57"/>
  <c r="V14" i="1" s="1"/>
  <c r="P16" i="57"/>
  <c r="Q16" i="57" s="1"/>
  <c r="R16" i="57" s="1"/>
  <c r="T16" i="57"/>
  <c r="V23" i="1" s="1"/>
  <c r="P24" i="57"/>
  <c r="Q24" i="57" s="1"/>
  <c r="R24" i="57" s="1"/>
  <c r="T24" i="57"/>
  <c r="V31" i="1" s="1"/>
  <c r="P32" i="57"/>
  <c r="Q32" i="57" s="1"/>
  <c r="R32" i="57" s="1"/>
  <c r="T32" i="57"/>
  <c r="V39" i="1" s="1"/>
  <c r="P11" i="57"/>
  <c r="Q11" i="57" s="1"/>
  <c r="R11" i="57" s="1"/>
  <c r="T11" i="57"/>
  <c r="V18" i="1" s="1"/>
  <c r="P19" i="57"/>
  <c r="Q19" i="57" s="1"/>
  <c r="R19" i="57" s="1"/>
  <c r="T19" i="57"/>
  <c r="V26" i="1" s="1"/>
  <c r="P27" i="57"/>
  <c r="Q27" i="57" s="1"/>
  <c r="R27" i="57" s="1"/>
  <c r="T27" i="57"/>
  <c r="V34" i="1" s="1"/>
  <c r="P35" i="57"/>
  <c r="Q35" i="57" s="1"/>
  <c r="R35" i="57" s="1"/>
  <c r="T35" i="57"/>
  <c r="V42" i="1" s="1"/>
  <c r="P33" i="56"/>
  <c r="Q33" i="56" s="1"/>
  <c r="R33" i="56" s="1"/>
  <c r="T33" i="56"/>
  <c r="P40" i="1" s="1"/>
  <c r="P15" i="56"/>
  <c r="Q15" i="56" s="1"/>
  <c r="R15" i="56" s="1"/>
  <c r="T15" i="56"/>
  <c r="P22" i="1" s="1"/>
  <c r="P36" i="56"/>
  <c r="Q36" i="56" s="1"/>
  <c r="R36" i="56" s="1"/>
  <c r="T36" i="56"/>
  <c r="P43" i="1" s="1"/>
  <c r="P11" i="56"/>
  <c r="Q11" i="56" s="1"/>
  <c r="R11" i="56" s="1"/>
  <c r="T11" i="56"/>
  <c r="P18" i="1" s="1"/>
  <c r="P27" i="56"/>
  <c r="Q27" i="56" s="1"/>
  <c r="R27" i="56" s="1"/>
  <c r="T27" i="56"/>
  <c r="P34" i="1" s="1"/>
  <c r="P34" i="56"/>
  <c r="Q34" i="56" s="1"/>
  <c r="R34" i="56" s="1"/>
  <c r="T34" i="56"/>
  <c r="P41" i="1" s="1"/>
  <c r="P9" i="55"/>
  <c r="Q9" i="55" s="1"/>
  <c r="R9" i="55" s="1"/>
  <c r="T9" i="55"/>
  <c r="I16" i="1" s="1"/>
  <c r="P25" i="55"/>
  <c r="Q25" i="55" s="1"/>
  <c r="R25" i="55" s="1"/>
  <c r="T25" i="55"/>
  <c r="I32" i="1" s="1"/>
  <c r="T6" i="55"/>
  <c r="P6" i="55"/>
  <c r="Q6" i="55" s="1"/>
  <c r="R6" i="55" s="1"/>
  <c r="P12" i="55"/>
  <c r="Q12" i="55" s="1"/>
  <c r="R12" i="55" s="1"/>
  <c r="T12" i="55"/>
  <c r="I19" i="1" s="1"/>
  <c r="P20" i="55"/>
  <c r="Q20" i="55" s="1"/>
  <c r="R20" i="55" s="1"/>
  <c r="T20" i="55"/>
  <c r="I27" i="1" s="1"/>
  <c r="P28" i="55"/>
  <c r="Q28" i="55" s="1"/>
  <c r="R28" i="55" s="1"/>
  <c r="T28" i="55"/>
  <c r="I35" i="1" s="1"/>
  <c r="P36" i="55"/>
  <c r="Q36" i="55" s="1"/>
  <c r="R36" i="55" s="1"/>
  <c r="T36" i="55"/>
  <c r="I43" i="1" s="1"/>
  <c r="P8" i="57"/>
  <c r="Q8" i="57" s="1"/>
  <c r="R8" i="57" s="1"/>
  <c r="T8" i="57"/>
  <c r="V15" i="1" s="1"/>
  <c r="P4" i="57"/>
  <c r="Q4" i="57" s="1"/>
  <c r="R4" i="57" s="1"/>
  <c r="T4" i="57"/>
  <c r="V11" i="1" s="1"/>
  <c r="P30" i="57"/>
  <c r="Q30" i="57" s="1"/>
  <c r="R30" i="57" s="1"/>
  <c r="T30" i="57"/>
  <c r="V37" i="1" s="1"/>
  <c r="P33" i="57"/>
  <c r="Q33" i="57" s="1"/>
  <c r="R33" i="57" s="1"/>
  <c r="T33" i="57"/>
  <c r="V40" i="1" s="1"/>
  <c r="P6" i="57"/>
  <c r="Q6" i="57" s="1"/>
  <c r="R6" i="57" s="1"/>
  <c r="T6" i="57"/>
  <c r="V13" i="1" s="1"/>
  <c r="P18" i="57"/>
  <c r="Q18" i="57" s="1"/>
  <c r="R18" i="57" s="1"/>
  <c r="T18" i="57"/>
  <c r="V25" i="1" s="1"/>
  <c r="P34" i="57"/>
  <c r="Q34" i="57" s="1"/>
  <c r="R34" i="57" s="1"/>
  <c r="T34" i="57"/>
  <c r="V41" i="1" s="1"/>
  <c r="P13" i="57"/>
  <c r="Q13" i="57" s="1"/>
  <c r="R13" i="57" s="1"/>
  <c r="T13" i="57"/>
  <c r="V20" i="1" s="1"/>
  <c r="P29" i="57"/>
  <c r="Q29" i="57" s="1"/>
  <c r="R29" i="57" s="1"/>
  <c r="T29" i="57"/>
  <c r="V36" i="1" s="1"/>
  <c r="P8" i="56"/>
  <c r="Q8" i="56" s="1"/>
  <c r="R8" i="56" s="1"/>
  <c r="T8" i="56"/>
  <c r="P15" i="1" s="1"/>
  <c r="P26" i="56"/>
  <c r="Q26" i="56" s="1"/>
  <c r="R26" i="56" s="1"/>
  <c r="T26" i="56"/>
  <c r="P33" i="1" s="1"/>
  <c r="P17" i="56"/>
  <c r="Q17" i="56" s="1"/>
  <c r="R17" i="56" s="1"/>
  <c r="T17" i="56"/>
  <c r="P24" i="1" s="1"/>
  <c r="P25" i="56"/>
  <c r="Q25" i="56" s="1"/>
  <c r="R25" i="56" s="1"/>
  <c r="T25" i="56"/>
  <c r="P32" i="1" s="1"/>
  <c r="P31" i="56"/>
  <c r="Q31" i="56" s="1"/>
  <c r="R31" i="56" s="1"/>
  <c r="T31" i="56"/>
  <c r="P38" i="1" s="1"/>
  <c r="P39" i="56"/>
  <c r="Q39" i="56" s="1"/>
  <c r="R39" i="56" s="1"/>
  <c r="T39" i="56"/>
  <c r="P46" i="1" s="1"/>
  <c r="E11" i="1"/>
  <c r="AA3" i="54" s="1"/>
  <c r="AB3" i="54"/>
  <c r="P13" i="55"/>
  <c r="Q13" i="55" s="1"/>
  <c r="R13" i="55" s="1"/>
  <c r="T13" i="55"/>
  <c r="I20" i="1" s="1"/>
  <c r="T10" i="55"/>
  <c r="P10" i="55"/>
  <c r="Q10" i="55" s="1"/>
  <c r="R10" i="55" s="1"/>
  <c r="T26" i="55"/>
  <c r="I33" i="1" s="1"/>
  <c r="P26" i="55"/>
  <c r="Q26" i="55" s="1"/>
  <c r="R26" i="55" s="1"/>
  <c r="P5" i="55"/>
  <c r="Q5" i="55" s="1"/>
  <c r="R5" i="55" s="1"/>
  <c r="T5" i="55"/>
  <c r="I12" i="1" s="1"/>
  <c r="P22" i="55"/>
  <c r="Q22" i="55" s="1"/>
  <c r="R22" i="55" s="1"/>
  <c r="T22" i="55"/>
  <c r="I29" i="1" s="1"/>
  <c r="T38" i="55"/>
  <c r="I45" i="1" s="1"/>
  <c r="P38" i="55"/>
  <c r="Q38" i="55" s="1"/>
  <c r="R38" i="55" s="1"/>
  <c r="P37" i="55"/>
  <c r="Q37" i="55" s="1"/>
  <c r="R37" i="55" s="1"/>
  <c r="T37" i="55"/>
  <c r="I44" i="1" s="1"/>
  <c r="T15" i="55"/>
  <c r="I22" i="1" s="1"/>
  <c r="P15" i="55"/>
  <c r="Q15" i="55" s="1"/>
  <c r="R15" i="55" s="1"/>
  <c r="P23" i="55"/>
  <c r="Q23" i="55" s="1"/>
  <c r="R23" i="55" s="1"/>
  <c r="T23" i="55"/>
  <c r="I30" i="1" s="1"/>
  <c r="P31" i="55"/>
  <c r="Q31" i="55" s="1"/>
  <c r="R31" i="55" s="1"/>
  <c r="T31" i="55"/>
  <c r="I38" i="1" s="1"/>
  <c r="P39" i="55"/>
  <c r="Q39" i="55" s="1"/>
  <c r="R39" i="55" s="1"/>
  <c r="T39" i="55"/>
  <c r="I46" i="1" s="1"/>
  <c r="P22" i="57"/>
  <c r="Q22" i="57" s="1"/>
  <c r="R22" i="57" s="1"/>
  <c r="T22" i="57"/>
  <c r="V29" i="1" s="1"/>
  <c r="P12" i="57"/>
  <c r="Q12" i="57" s="1"/>
  <c r="R12" i="57" s="1"/>
  <c r="T12" i="57"/>
  <c r="V19" i="1" s="1"/>
  <c r="P20" i="57"/>
  <c r="Q20" i="57" s="1"/>
  <c r="R20" i="57" s="1"/>
  <c r="T20" i="57"/>
  <c r="V27" i="1" s="1"/>
  <c r="P28" i="57"/>
  <c r="Q28" i="57" s="1"/>
  <c r="R28" i="57" s="1"/>
  <c r="T28" i="57"/>
  <c r="V35" i="1" s="1"/>
  <c r="P36" i="57"/>
  <c r="Q36" i="57" s="1"/>
  <c r="R36" i="57" s="1"/>
  <c r="T36" i="57"/>
  <c r="V43" i="1" s="1"/>
  <c r="P15" i="57"/>
  <c r="Q15" i="57" s="1"/>
  <c r="R15" i="57" s="1"/>
  <c r="T15" i="57"/>
  <c r="V22" i="1" s="1"/>
  <c r="P23" i="57"/>
  <c r="Q23" i="57" s="1"/>
  <c r="R23" i="57" s="1"/>
  <c r="T23" i="57"/>
  <c r="V30" i="1" s="1"/>
  <c r="P31" i="57"/>
  <c r="Q31" i="57" s="1"/>
  <c r="R31" i="57" s="1"/>
  <c r="T31" i="57"/>
  <c r="V38" i="1" s="1"/>
  <c r="P39" i="57"/>
  <c r="Q39" i="57" s="1"/>
  <c r="R39" i="57" s="1"/>
  <c r="T39" i="57"/>
  <c r="V46" i="1" s="1"/>
  <c r="L19" i="1" l="1"/>
  <c r="L21" i="1"/>
  <c r="I17" i="1"/>
  <c r="L17" i="1" s="1"/>
  <c r="I13" i="1"/>
  <c r="L13" i="1" s="1"/>
  <c r="L18" i="1"/>
  <c r="I14" i="1"/>
  <c r="L14" i="1" s="1"/>
  <c r="L20" i="1"/>
  <c r="I15" i="1"/>
  <c r="L15" i="1" s="1"/>
  <c r="U9" i="55"/>
  <c r="V9" i="55" s="1"/>
  <c r="W9" i="55" s="1"/>
  <c r="Z9" i="55" s="1"/>
  <c r="Y9" i="55" s="1"/>
  <c r="D16" i="1" s="1"/>
  <c r="L16" i="1"/>
  <c r="U15" i="55"/>
  <c r="V15" i="55" s="1"/>
  <c r="W15" i="55" s="1"/>
  <c r="Z15" i="55" s="1"/>
  <c r="Y15" i="55" s="1"/>
  <c r="D22" i="1" s="1"/>
  <c r="L22" i="1"/>
  <c r="U31" i="57"/>
  <c r="X38" i="1"/>
  <c r="U15" i="57"/>
  <c r="X22" i="1"/>
  <c r="U28" i="57"/>
  <c r="X35" i="1"/>
  <c r="U12" i="57"/>
  <c r="X19" i="1"/>
  <c r="U39" i="55"/>
  <c r="V39" i="55" s="1"/>
  <c r="W39" i="55" s="1"/>
  <c r="Z39" i="55" s="1"/>
  <c r="Y39" i="55" s="1"/>
  <c r="D46" i="1" s="1"/>
  <c r="L46" i="1"/>
  <c r="U23" i="55"/>
  <c r="V23" i="55" s="1"/>
  <c r="W23" i="55" s="1"/>
  <c r="Z23" i="55" s="1"/>
  <c r="Y23" i="55" s="1"/>
  <c r="D30" i="1" s="1"/>
  <c r="L30" i="1"/>
  <c r="U37" i="55"/>
  <c r="V37" i="55" s="1"/>
  <c r="W37" i="55" s="1"/>
  <c r="Z37" i="55" s="1"/>
  <c r="Y37" i="55" s="1"/>
  <c r="D44" i="1" s="1"/>
  <c r="L44" i="1"/>
  <c r="L29" i="1"/>
  <c r="U22" i="55"/>
  <c r="V22" i="55" s="1"/>
  <c r="W22" i="55" s="1"/>
  <c r="Z22" i="55" s="1"/>
  <c r="Y22" i="55" s="1"/>
  <c r="D29" i="1" s="1"/>
  <c r="U13" i="55"/>
  <c r="V13" i="55" s="1"/>
  <c r="W13" i="55" s="1"/>
  <c r="Z13" i="55" s="1"/>
  <c r="Y13" i="55" s="1"/>
  <c r="D20" i="1" s="1"/>
  <c r="U39" i="56"/>
  <c r="R46" i="1"/>
  <c r="U25" i="56"/>
  <c r="R32" i="1"/>
  <c r="U26" i="56"/>
  <c r="R33" i="1"/>
  <c r="U29" i="57"/>
  <c r="X36" i="1"/>
  <c r="U34" i="57"/>
  <c r="X41" i="1"/>
  <c r="U6" i="57"/>
  <c r="X13" i="1"/>
  <c r="U30" i="57"/>
  <c r="X37" i="1"/>
  <c r="U8" i="57"/>
  <c r="X15" i="1"/>
  <c r="U28" i="55"/>
  <c r="V28" i="55" s="1"/>
  <c r="W28" i="55" s="1"/>
  <c r="Z28" i="55" s="1"/>
  <c r="Y28" i="55" s="1"/>
  <c r="D35" i="1" s="1"/>
  <c r="L35" i="1"/>
  <c r="U12" i="55"/>
  <c r="V12" i="55" s="1"/>
  <c r="W12" i="55" s="1"/>
  <c r="Z12" i="55" s="1"/>
  <c r="Y12" i="55" s="1"/>
  <c r="D19" i="1" s="1"/>
  <c r="U25" i="55"/>
  <c r="V25" i="55" s="1"/>
  <c r="W25" i="55" s="1"/>
  <c r="Z25" i="55" s="1"/>
  <c r="Y25" i="55" s="1"/>
  <c r="D32" i="1" s="1"/>
  <c r="L32" i="1"/>
  <c r="U34" i="56"/>
  <c r="R41" i="1"/>
  <c r="U11" i="56"/>
  <c r="R18" i="1"/>
  <c r="U15" i="56"/>
  <c r="R22" i="1"/>
  <c r="U19" i="55"/>
  <c r="V19" i="55" s="1"/>
  <c r="W19" i="55" s="1"/>
  <c r="Z19" i="55" s="1"/>
  <c r="Y19" i="55" s="1"/>
  <c r="D26" i="1" s="1"/>
  <c r="L26" i="1"/>
  <c r="U14" i="55"/>
  <c r="L41" i="1"/>
  <c r="U34" i="55"/>
  <c r="V34" i="55" s="1"/>
  <c r="W34" i="55" s="1"/>
  <c r="Z34" i="55" s="1"/>
  <c r="Y34" i="55" s="1"/>
  <c r="D41" i="1" s="1"/>
  <c r="U10" i="56"/>
  <c r="R17" i="1"/>
  <c r="U20" i="56"/>
  <c r="R27" i="1"/>
  <c r="U21" i="57"/>
  <c r="X28" i="1"/>
  <c r="U26" i="57"/>
  <c r="X33" i="1"/>
  <c r="X45" i="1"/>
  <c r="U38" i="57"/>
  <c r="U14" i="57"/>
  <c r="X21" i="1"/>
  <c r="U9" i="57"/>
  <c r="X16" i="1"/>
  <c r="U24" i="55"/>
  <c r="V24" i="55" s="1"/>
  <c r="W24" i="55" s="1"/>
  <c r="Z24" i="55" s="1"/>
  <c r="Y24" i="55" s="1"/>
  <c r="D31" i="1" s="1"/>
  <c r="L31" i="1"/>
  <c r="U8" i="55"/>
  <c r="V8" i="55" s="1"/>
  <c r="W8" i="55" s="1"/>
  <c r="Z8" i="55" s="1"/>
  <c r="Y8" i="55" s="1"/>
  <c r="D15" i="1" s="1"/>
  <c r="L24" i="1"/>
  <c r="U17" i="55"/>
  <c r="V17" i="55" s="1"/>
  <c r="W17" i="55" s="1"/>
  <c r="Z17" i="55" s="1"/>
  <c r="Y17" i="55" s="1"/>
  <c r="D24" i="1" s="1"/>
  <c r="R45" i="1"/>
  <c r="U38" i="56"/>
  <c r="U19" i="56"/>
  <c r="R26" i="1"/>
  <c r="U7" i="56"/>
  <c r="R14" i="1"/>
  <c r="U12" i="56"/>
  <c r="R19" i="1"/>
  <c r="R25" i="1"/>
  <c r="U18" i="56"/>
  <c r="U27" i="57"/>
  <c r="X34" i="1"/>
  <c r="U11" i="57"/>
  <c r="X18" i="1"/>
  <c r="U24" i="57"/>
  <c r="X31" i="1"/>
  <c r="U7" i="57"/>
  <c r="X14" i="1"/>
  <c r="U27" i="55"/>
  <c r="V27" i="55" s="1"/>
  <c r="W27" i="55" s="1"/>
  <c r="Z27" i="55" s="1"/>
  <c r="Y27" i="55" s="1"/>
  <c r="D34" i="1" s="1"/>
  <c r="L34" i="1"/>
  <c r="U35" i="56"/>
  <c r="R42" i="1"/>
  <c r="U21" i="56"/>
  <c r="R28" i="1"/>
  <c r="U5" i="56"/>
  <c r="R12" i="1"/>
  <c r="U22" i="56"/>
  <c r="R29" i="1"/>
  <c r="U6" i="56"/>
  <c r="R13" i="1"/>
  <c r="L33" i="1"/>
  <c r="U26" i="55"/>
  <c r="V26" i="55" s="1"/>
  <c r="W26" i="55" s="1"/>
  <c r="Z26" i="55" s="1"/>
  <c r="Y26" i="55" s="1"/>
  <c r="D33" i="1" s="1"/>
  <c r="U39" i="57"/>
  <c r="X46" i="1"/>
  <c r="U23" i="57"/>
  <c r="X30" i="1"/>
  <c r="U36" i="57"/>
  <c r="X43" i="1"/>
  <c r="U20" i="57"/>
  <c r="X27" i="1"/>
  <c r="U22" i="57"/>
  <c r="X29" i="1"/>
  <c r="U31" i="55"/>
  <c r="V31" i="55" s="1"/>
  <c r="W31" i="55" s="1"/>
  <c r="Z31" i="55" s="1"/>
  <c r="Y31" i="55" s="1"/>
  <c r="D38" i="1" s="1"/>
  <c r="L38" i="1"/>
  <c r="L12" i="1"/>
  <c r="U5" i="55"/>
  <c r="V5" i="55" s="1"/>
  <c r="W5" i="55" s="1"/>
  <c r="Z5" i="55" s="1"/>
  <c r="Y5" i="55" s="1"/>
  <c r="D12" i="1" s="1"/>
  <c r="U31" i="56"/>
  <c r="R38" i="1"/>
  <c r="U17" i="56"/>
  <c r="R24" i="1"/>
  <c r="U8" i="56"/>
  <c r="R15" i="1"/>
  <c r="U13" i="57"/>
  <c r="X20" i="1"/>
  <c r="U18" i="57"/>
  <c r="X25" i="1"/>
  <c r="U33" i="57"/>
  <c r="X40" i="1"/>
  <c r="U4" i="57"/>
  <c r="X11" i="1"/>
  <c r="U36" i="55"/>
  <c r="V36" i="55" s="1"/>
  <c r="W36" i="55" s="1"/>
  <c r="Z36" i="55" s="1"/>
  <c r="Y36" i="55" s="1"/>
  <c r="D43" i="1" s="1"/>
  <c r="L43" i="1"/>
  <c r="U20" i="55"/>
  <c r="V20" i="55" s="1"/>
  <c r="W20" i="55" s="1"/>
  <c r="Z20" i="55" s="1"/>
  <c r="Y20" i="55" s="1"/>
  <c r="D27" i="1" s="1"/>
  <c r="L27" i="1"/>
  <c r="U27" i="56"/>
  <c r="R34" i="1"/>
  <c r="R43" i="1"/>
  <c r="U36" i="56"/>
  <c r="U33" i="56"/>
  <c r="R40" i="1"/>
  <c r="U11" i="55"/>
  <c r="V11" i="55" s="1"/>
  <c r="W11" i="55" s="1"/>
  <c r="Z11" i="55" s="1"/>
  <c r="Y11" i="55" s="1"/>
  <c r="D18" i="1" s="1"/>
  <c r="L37" i="1"/>
  <c r="U30" i="55"/>
  <c r="V30" i="55" s="1"/>
  <c r="W30" i="55" s="1"/>
  <c r="Z30" i="55" s="1"/>
  <c r="Y30" i="55" s="1"/>
  <c r="D37" i="1" s="1"/>
  <c r="U7" i="55"/>
  <c r="V7" i="55" s="1"/>
  <c r="W7" i="55" s="1"/>
  <c r="Z7" i="55" s="1"/>
  <c r="Y7" i="55" s="1"/>
  <c r="D14" i="1" s="1"/>
  <c r="U18" i="55"/>
  <c r="V18" i="55" s="1"/>
  <c r="W18" i="55" s="1"/>
  <c r="Z18" i="55" s="1"/>
  <c r="Y18" i="55" s="1"/>
  <c r="D25" i="1" s="1"/>
  <c r="L25" i="1"/>
  <c r="U37" i="56"/>
  <c r="R44" i="1"/>
  <c r="R31" i="1"/>
  <c r="U24" i="56"/>
  <c r="U37" i="57"/>
  <c r="X44" i="1"/>
  <c r="U5" i="57"/>
  <c r="X12" i="1"/>
  <c r="X17" i="1"/>
  <c r="U10" i="57"/>
  <c r="U17" i="57"/>
  <c r="X24" i="1"/>
  <c r="U25" i="57"/>
  <c r="X32" i="1"/>
  <c r="L39" i="1"/>
  <c r="U32" i="55"/>
  <c r="V32" i="55" s="1"/>
  <c r="W32" i="55" s="1"/>
  <c r="Z32" i="55" s="1"/>
  <c r="Y32" i="55" s="1"/>
  <c r="D39" i="1" s="1"/>
  <c r="U16" i="55"/>
  <c r="V16" i="55" s="1"/>
  <c r="W16" i="55" s="1"/>
  <c r="Z16" i="55" s="1"/>
  <c r="Y16" i="55" s="1"/>
  <c r="D23" i="1" s="1"/>
  <c r="L23" i="1"/>
  <c r="U33" i="55"/>
  <c r="V33" i="55" s="1"/>
  <c r="W33" i="55" s="1"/>
  <c r="Z33" i="55" s="1"/>
  <c r="Y33" i="55" s="1"/>
  <c r="D40" i="1" s="1"/>
  <c r="L40" i="1"/>
  <c r="U4" i="55"/>
  <c r="V4" i="55" s="1"/>
  <c r="W4" i="55" s="1"/>
  <c r="U30" i="56"/>
  <c r="R37" i="1"/>
  <c r="U23" i="56"/>
  <c r="R30" i="1"/>
  <c r="U28" i="56"/>
  <c r="R35" i="1"/>
  <c r="U9" i="56"/>
  <c r="R16" i="1"/>
  <c r="U4" i="56"/>
  <c r="R11" i="1"/>
  <c r="U38" i="55"/>
  <c r="V38" i="55" s="1"/>
  <c r="W38" i="55" s="1"/>
  <c r="Z38" i="55" s="1"/>
  <c r="Y38" i="55" s="1"/>
  <c r="D45" i="1" s="1"/>
  <c r="L45" i="1"/>
  <c r="U10" i="55"/>
  <c r="V10" i="55" s="1"/>
  <c r="W10" i="55" s="1"/>
  <c r="Z10" i="55" s="1"/>
  <c r="Y10" i="55" s="1"/>
  <c r="D17" i="1" s="1"/>
  <c r="U6" i="55"/>
  <c r="V6" i="55" s="1"/>
  <c r="W6" i="55" s="1"/>
  <c r="Z6" i="55" s="1"/>
  <c r="Y6" i="55" s="1"/>
  <c r="D13" i="1" s="1"/>
  <c r="U35" i="57"/>
  <c r="X42" i="1"/>
  <c r="U19" i="57"/>
  <c r="X26" i="1"/>
  <c r="U32" i="57"/>
  <c r="X39" i="1"/>
  <c r="U16" i="57"/>
  <c r="X23" i="1"/>
  <c r="L42" i="1"/>
  <c r="U35" i="55"/>
  <c r="V35" i="55" s="1"/>
  <c r="W35" i="55" s="1"/>
  <c r="Z35" i="55" s="1"/>
  <c r="Y35" i="55" s="1"/>
  <c r="D42" i="1" s="1"/>
  <c r="L36" i="1"/>
  <c r="U29" i="55"/>
  <c r="V29" i="55" s="1"/>
  <c r="W29" i="55" s="1"/>
  <c r="Z29" i="55" s="1"/>
  <c r="Y29" i="55" s="1"/>
  <c r="D36" i="1" s="1"/>
  <c r="U21" i="55"/>
  <c r="V21" i="55" s="1"/>
  <c r="W21" i="55" s="1"/>
  <c r="Z21" i="55" s="1"/>
  <c r="Y21" i="55" s="1"/>
  <c r="D28" i="1" s="1"/>
  <c r="R39" i="1"/>
  <c r="U32" i="56"/>
  <c r="U13" i="56"/>
  <c r="R20" i="1"/>
  <c r="U29" i="56"/>
  <c r="R36" i="1"/>
  <c r="U14" i="56"/>
  <c r="R21" i="1"/>
  <c r="U16" i="56"/>
  <c r="R23" i="1"/>
  <c r="F23" i="1" l="1"/>
  <c r="F43" i="1"/>
  <c r="Z33" i="54"/>
  <c r="Z27" i="54"/>
  <c r="F28" i="1"/>
  <c r="F31" i="1"/>
  <c r="Z40" i="54"/>
  <c r="Z28" i="54"/>
  <c r="F34" i="1"/>
  <c r="F14" i="1"/>
  <c r="F22" i="1"/>
  <c r="Z34" i="54"/>
  <c r="F37" i="1"/>
  <c r="F26" i="1"/>
  <c r="Z25" i="54"/>
  <c r="Z16" i="54"/>
  <c r="F32" i="1"/>
  <c r="F44" i="1"/>
  <c r="F17" i="1"/>
  <c r="Z7" i="54"/>
  <c r="F30" i="1"/>
  <c r="F45" i="1"/>
  <c r="Z31" i="54"/>
  <c r="Z12" i="54"/>
  <c r="F25" i="1"/>
  <c r="F38" i="1"/>
  <c r="Z21" i="54"/>
  <c r="Z32" i="54"/>
  <c r="F18" i="1"/>
  <c r="F27" i="1"/>
  <c r="F19" i="1"/>
  <c r="Z8" i="54"/>
  <c r="F13" i="1"/>
  <c r="F12" i="1"/>
  <c r="L28" i="1"/>
  <c r="L11" i="1"/>
  <c r="Z46" i="54"/>
  <c r="F60" i="63"/>
  <c r="Z102" i="54"/>
  <c r="Z125" i="54"/>
  <c r="Z5" i="54"/>
  <c r="Z82" i="54"/>
  <c r="Z96" i="54"/>
  <c r="Z53" i="54"/>
  <c r="Z134" i="54"/>
  <c r="Z146" i="54"/>
  <c r="Z110" i="54"/>
  <c r="F58" i="63"/>
  <c r="Z44" i="54"/>
  <c r="Z48" i="54"/>
  <c r="K56" i="63"/>
  <c r="Z106" i="54"/>
  <c r="Z100" i="54"/>
  <c r="Z57" i="54"/>
  <c r="Z113" i="54"/>
  <c r="Z127" i="54"/>
  <c r="AB81" i="54"/>
  <c r="Z81" i="54"/>
  <c r="Z104" i="54"/>
  <c r="Z68" i="54"/>
  <c r="Z129" i="54"/>
  <c r="Z132" i="54"/>
  <c r="Z95" i="54"/>
  <c r="Z94" i="54"/>
  <c r="Z64" i="54"/>
  <c r="Z133" i="54"/>
  <c r="Z136" i="54"/>
  <c r="Z85" i="54"/>
  <c r="Z92" i="54"/>
  <c r="Z61" i="54"/>
  <c r="Z123" i="54"/>
  <c r="Z135" i="54"/>
  <c r="Z93" i="54"/>
  <c r="Z56" i="54"/>
  <c r="Z88" i="54"/>
  <c r="Z107" i="54"/>
  <c r="Z49" i="54"/>
  <c r="K57" i="63"/>
  <c r="Z117" i="54"/>
  <c r="Z115" i="54"/>
  <c r="Z138" i="54"/>
  <c r="Z98" i="54"/>
  <c r="Z74" i="54"/>
  <c r="Z76" i="54"/>
  <c r="Z137" i="54"/>
  <c r="Z140" i="54"/>
  <c r="Z89" i="54"/>
  <c r="Z128" i="54"/>
  <c r="Z75" i="54"/>
  <c r="Z105" i="54"/>
  <c r="Z66" i="54"/>
  <c r="Z43" i="54"/>
  <c r="F57" i="63"/>
  <c r="F55" i="63"/>
  <c r="G55" i="63" s="1"/>
  <c r="Z41" i="54"/>
  <c r="Z119" i="54"/>
  <c r="Z10" i="54"/>
  <c r="Z30" i="54"/>
  <c r="Z63" i="54"/>
  <c r="Z26" i="54"/>
  <c r="Z54" i="54"/>
  <c r="Z71" i="54"/>
  <c r="Z50" i="54"/>
  <c r="K58" i="63"/>
  <c r="Z87" i="54"/>
  <c r="Z144" i="54"/>
  <c r="Z77" i="54"/>
  <c r="Z101" i="54"/>
  <c r="Z103" i="54"/>
  <c r="Z70" i="54"/>
  <c r="Z126" i="54"/>
  <c r="Z114" i="54"/>
  <c r="Z55" i="54"/>
  <c r="Z73" i="54"/>
  <c r="Z142" i="54"/>
  <c r="Z122" i="54"/>
  <c r="Z90" i="54"/>
  <c r="Z131" i="54"/>
  <c r="Z145" i="54"/>
  <c r="Z148" i="54"/>
  <c r="Z79" i="54"/>
  <c r="Z78" i="54"/>
  <c r="Z108" i="54"/>
  <c r="Z116" i="54"/>
  <c r="Z120" i="54"/>
  <c r="Z80" i="54"/>
  <c r="Z118" i="54"/>
  <c r="Z130" i="54"/>
  <c r="Z83" i="54"/>
  <c r="Z51" i="54"/>
  <c r="K59" i="63"/>
  <c r="Z84" i="54"/>
  <c r="Z62" i="54"/>
  <c r="Z65" i="54"/>
  <c r="Z139" i="54"/>
  <c r="Z143" i="54"/>
  <c r="Z99" i="54"/>
  <c r="Z112" i="54"/>
  <c r="Z60" i="54"/>
  <c r="Z121" i="54"/>
  <c r="Z124" i="54"/>
  <c r="Z52" i="54"/>
  <c r="K60" i="63"/>
  <c r="Z86" i="54"/>
  <c r="Z58" i="54"/>
  <c r="Z141" i="54"/>
  <c r="K55" i="63"/>
  <c r="Z47" i="54"/>
  <c r="Z72" i="54"/>
  <c r="Z9" i="54"/>
  <c r="Z69" i="54"/>
  <c r="Z97" i="54"/>
  <c r="Z17" i="54"/>
  <c r="Z67" i="54"/>
  <c r="Z109" i="54"/>
  <c r="Z35" i="54"/>
  <c r="F56" i="63"/>
  <c r="Z42" i="54"/>
  <c r="Z91" i="54"/>
  <c r="Z111" i="54"/>
  <c r="Z45" i="54"/>
  <c r="F59" i="63"/>
  <c r="Z147" i="54"/>
  <c r="V14" i="55"/>
  <c r="W14" i="55" s="1"/>
  <c r="Z14" i="55" s="1"/>
  <c r="Y14" i="55" s="1"/>
  <c r="D21" i="1" s="1"/>
  <c r="Z24" i="54"/>
  <c r="Z59" i="54"/>
  <c r="Z6" i="54" l="1"/>
  <c r="Z15" i="54"/>
  <c r="Z4" i="54"/>
  <c r="Z18" i="54"/>
  <c r="Z29" i="54"/>
  <c r="Z22" i="54"/>
  <c r="Z20" i="54"/>
  <c r="Z39" i="54"/>
  <c r="Z23" i="54"/>
  <c r="Z11" i="54"/>
  <c r="Z19" i="54"/>
  <c r="F21" i="1"/>
  <c r="F16" i="1"/>
  <c r="AB8" i="54" s="1"/>
  <c r="F15" i="1"/>
  <c r="E15" i="1" s="1"/>
  <c r="AA7" i="54" s="1"/>
  <c r="F24" i="1"/>
  <c r="AB16" i="54" s="1"/>
  <c r="F36" i="1"/>
  <c r="E36" i="1" s="1"/>
  <c r="AA28" i="54" s="1"/>
  <c r="F39" i="1"/>
  <c r="AB31" i="54" s="1"/>
  <c r="F33" i="1"/>
  <c r="AB25" i="54" s="1"/>
  <c r="F46" i="1"/>
  <c r="AB40" i="54" s="1"/>
  <c r="Z14" i="54"/>
  <c r="Z36" i="54"/>
  <c r="F40" i="1"/>
  <c r="E40" i="1" s="1"/>
  <c r="AA32" i="54" s="1"/>
  <c r="F20" i="1"/>
  <c r="E20" i="1" s="1"/>
  <c r="AA12" i="54" s="1"/>
  <c r="F42" i="1"/>
  <c r="E42" i="1" s="1"/>
  <c r="AA34" i="54" s="1"/>
  <c r="F35" i="1"/>
  <c r="AB27" i="54" s="1"/>
  <c r="F29" i="1"/>
  <c r="E29" i="1" s="1"/>
  <c r="AA21" i="54" s="1"/>
  <c r="F41" i="1"/>
  <c r="E41" i="1" s="1"/>
  <c r="AA33" i="54" s="1"/>
  <c r="AB46" i="54"/>
  <c r="K16" i="1"/>
  <c r="AA46" i="54" s="1"/>
  <c r="G60" i="63"/>
  <c r="AB22" i="54"/>
  <c r="E30" i="1"/>
  <c r="AA22" i="54" s="1"/>
  <c r="AB59" i="54"/>
  <c r="K29" i="1"/>
  <c r="AA59" i="54" s="1"/>
  <c r="W45" i="1"/>
  <c r="AA147" i="54" s="1"/>
  <c r="AB147" i="54"/>
  <c r="K37" i="1"/>
  <c r="AA67" i="54" s="1"/>
  <c r="AB67" i="54"/>
  <c r="E22" i="1"/>
  <c r="AA14" i="54" s="1"/>
  <c r="AB14" i="54"/>
  <c r="G56" i="63"/>
  <c r="K12" i="1"/>
  <c r="AA42" i="54" s="1"/>
  <c r="AB42" i="54"/>
  <c r="AB86" i="54"/>
  <c r="Q20" i="1"/>
  <c r="AA86" i="54" s="1"/>
  <c r="L60" i="63"/>
  <c r="K22" i="1"/>
  <c r="AA52" i="54" s="1"/>
  <c r="AB52" i="54"/>
  <c r="AB139" i="54"/>
  <c r="W37" i="1"/>
  <c r="AA139" i="54" s="1"/>
  <c r="AB80" i="54"/>
  <c r="Q14" i="1"/>
  <c r="AA80" i="54" s="1"/>
  <c r="W14" i="1"/>
  <c r="AA116" i="54" s="1"/>
  <c r="AB116" i="54"/>
  <c r="AB148" i="54"/>
  <c r="W46" i="1"/>
  <c r="AA148" i="54" s="1"/>
  <c r="W29" i="1"/>
  <c r="AA131" i="54" s="1"/>
  <c r="AB131" i="54"/>
  <c r="K25" i="1"/>
  <c r="AA55" i="54" s="1"/>
  <c r="AB55" i="54"/>
  <c r="AB126" i="54"/>
  <c r="W24" i="1"/>
  <c r="AA126" i="54" s="1"/>
  <c r="E26" i="1"/>
  <c r="AA18" i="54" s="1"/>
  <c r="AB18" i="54"/>
  <c r="E31" i="1"/>
  <c r="AA23" i="54" s="1"/>
  <c r="AB23" i="54"/>
  <c r="E34" i="1"/>
  <c r="AA26" i="54" s="1"/>
  <c r="AB26" i="54"/>
  <c r="AB30" i="54"/>
  <c r="E38" i="1"/>
  <c r="AA30" i="54" s="1"/>
  <c r="AB10" i="54"/>
  <c r="E18" i="1"/>
  <c r="AA10" i="54" s="1"/>
  <c r="AB119" i="54"/>
  <c r="W17" i="1"/>
  <c r="AA119" i="54" s="1"/>
  <c r="G57" i="63"/>
  <c r="K13" i="1"/>
  <c r="AA43" i="54" s="1"/>
  <c r="AB43" i="54"/>
  <c r="K44" i="1"/>
  <c r="AA74" i="54" s="1"/>
  <c r="AB74" i="54"/>
  <c r="Q32" i="1"/>
  <c r="AA98" i="54" s="1"/>
  <c r="AB98" i="54"/>
  <c r="AB115" i="54"/>
  <c r="W13" i="1"/>
  <c r="AA115" i="54" s="1"/>
  <c r="AB107" i="54"/>
  <c r="Q41" i="1"/>
  <c r="AA107" i="54" s="1"/>
  <c r="AB56" i="54"/>
  <c r="K26" i="1"/>
  <c r="AA56" i="54" s="1"/>
  <c r="AB93" i="54"/>
  <c r="Q27" i="1"/>
  <c r="AA93" i="54" s="1"/>
  <c r="AB133" i="54"/>
  <c r="W31" i="1"/>
  <c r="AA133" i="54" s="1"/>
  <c r="AB94" i="54"/>
  <c r="Q28" i="1"/>
  <c r="AA94" i="54" s="1"/>
  <c r="W25" i="1"/>
  <c r="AA127" i="54" s="1"/>
  <c r="AB127" i="54"/>
  <c r="AB106" i="54"/>
  <c r="Q40" i="1"/>
  <c r="AA106" i="54" s="1"/>
  <c r="AB125" i="54"/>
  <c r="W23" i="1"/>
  <c r="AA125" i="54" s="1"/>
  <c r="K15" i="1"/>
  <c r="AA45" i="54" s="1"/>
  <c r="AB45" i="54"/>
  <c r="G59" i="63"/>
  <c r="AB35" i="54"/>
  <c r="E43" i="1"/>
  <c r="AA35" i="54" s="1"/>
  <c r="AB17" i="54"/>
  <c r="E25" i="1"/>
  <c r="AA17" i="54" s="1"/>
  <c r="AB20" i="54"/>
  <c r="E28" i="1"/>
  <c r="AA20" i="54" s="1"/>
  <c r="L55" i="63"/>
  <c r="AB47" i="54"/>
  <c r="K17" i="1"/>
  <c r="AA47" i="54" s="1"/>
  <c r="AB60" i="54"/>
  <c r="K30" i="1"/>
  <c r="AA60" i="54" s="1"/>
  <c r="AB51" i="54"/>
  <c r="L59" i="63"/>
  <c r="K21" i="1"/>
  <c r="AA51" i="54" s="1"/>
  <c r="AB108" i="54"/>
  <c r="Q42" i="1"/>
  <c r="AA108" i="54" s="1"/>
  <c r="AB79" i="54"/>
  <c r="Q13" i="1"/>
  <c r="AA79" i="54" s="1"/>
  <c r="AB145" i="54"/>
  <c r="W43" i="1"/>
  <c r="AA145" i="54" s="1"/>
  <c r="K40" i="1"/>
  <c r="AA70" i="54" s="1"/>
  <c r="AB70" i="54"/>
  <c r="AB101" i="54"/>
  <c r="Q35" i="1"/>
  <c r="AA101" i="54" s="1"/>
  <c r="AB144" i="54"/>
  <c r="W42" i="1"/>
  <c r="AA144" i="54" s="1"/>
  <c r="Q21" i="1"/>
  <c r="AA87" i="54" s="1"/>
  <c r="AB87" i="54"/>
  <c r="AB36" i="54"/>
  <c r="E44" i="1"/>
  <c r="AA36" i="54" s="1"/>
  <c r="K20" i="1"/>
  <c r="AA50" i="54" s="1"/>
  <c r="L58" i="63"/>
  <c r="AB50" i="54"/>
  <c r="E45" i="1"/>
  <c r="AA39" i="54" s="1"/>
  <c r="AB39" i="54"/>
  <c r="Q39" i="1"/>
  <c r="AA105" i="54" s="1"/>
  <c r="AB105" i="54"/>
  <c r="W26" i="1"/>
  <c r="AA128" i="54" s="1"/>
  <c r="AB128" i="54"/>
  <c r="AB89" i="54"/>
  <c r="Q23" i="1"/>
  <c r="AA89" i="54" s="1"/>
  <c r="W35" i="1"/>
  <c r="AA137" i="54" s="1"/>
  <c r="AB137" i="54"/>
  <c r="AB123" i="54"/>
  <c r="W21" i="1"/>
  <c r="AA123" i="54" s="1"/>
  <c r="AB85" i="54"/>
  <c r="Q19" i="1"/>
  <c r="AA85" i="54" s="1"/>
  <c r="W27" i="1"/>
  <c r="AA129" i="54" s="1"/>
  <c r="AB129" i="54"/>
  <c r="Q38" i="1"/>
  <c r="AA104" i="54" s="1"/>
  <c r="AB104" i="54"/>
  <c r="AB57" i="54"/>
  <c r="K27" i="1"/>
  <c r="AA57" i="54" s="1"/>
  <c r="L56" i="63"/>
  <c r="K18" i="1"/>
  <c r="AA48" i="54" s="1"/>
  <c r="AB48" i="54"/>
  <c r="G58" i="63"/>
  <c r="AB44" i="54"/>
  <c r="K14" i="1"/>
  <c r="AA44" i="54" s="1"/>
  <c r="W44" i="1"/>
  <c r="AA146" i="54" s="1"/>
  <c r="AB146" i="54"/>
  <c r="K23" i="1"/>
  <c r="AA53" i="54" s="1"/>
  <c r="AB53" i="54"/>
  <c r="Q15" i="1"/>
  <c r="AA81" i="54" s="1"/>
  <c r="AB82" i="54"/>
  <c r="AB111" i="54"/>
  <c r="Q45" i="1"/>
  <c r="AA111" i="54" s="1"/>
  <c r="Q43" i="1"/>
  <c r="AA109" i="54" s="1"/>
  <c r="AB109" i="54"/>
  <c r="K39" i="1"/>
  <c r="AA69" i="54" s="1"/>
  <c r="AB69" i="54"/>
  <c r="E17" i="1"/>
  <c r="AA9" i="54" s="1"/>
  <c r="AB9" i="54"/>
  <c r="K28" i="1"/>
  <c r="AA58" i="54" s="1"/>
  <c r="AB58" i="54"/>
  <c r="AB124" i="54"/>
  <c r="W22" i="1"/>
  <c r="AA124" i="54" s="1"/>
  <c r="AB112" i="54"/>
  <c r="Q46" i="1"/>
  <c r="AA112" i="54" s="1"/>
  <c r="W41" i="1"/>
  <c r="AA143" i="54" s="1"/>
  <c r="AB143" i="54"/>
  <c r="AB65" i="54"/>
  <c r="K35" i="1"/>
  <c r="AA65" i="54" s="1"/>
  <c r="AB84" i="54"/>
  <c r="Q18" i="1"/>
  <c r="AA84" i="54" s="1"/>
  <c r="W28" i="1"/>
  <c r="AA130" i="54" s="1"/>
  <c r="AB130" i="54"/>
  <c r="AB120" i="54"/>
  <c r="W18" i="1"/>
  <c r="AA120" i="54" s="1"/>
  <c r="AB4" i="54"/>
  <c r="E12" i="1"/>
  <c r="AA4" i="54" s="1"/>
  <c r="W20" i="1"/>
  <c r="AA122" i="54" s="1"/>
  <c r="AB122" i="54"/>
  <c r="AB73" i="54"/>
  <c r="K43" i="1"/>
  <c r="AA73" i="54" s="1"/>
  <c r="E37" i="1"/>
  <c r="AA29" i="54" s="1"/>
  <c r="AB29" i="54"/>
  <c r="AB103" i="54"/>
  <c r="Q37" i="1"/>
  <c r="AA103" i="54" s="1"/>
  <c r="AB77" i="54"/>
  <c r="Q11" i="1"/>
  <c r="AA77" i="54" s="1"/>
  <c r="AB71" i="54"/>
  <c r="K41" i="1"/>
  <c r="AA71" i="54" s="1"/>
  <c r="AB54" i="54"/>
  <c r="K24" i="1"/>
  <c r="AA54" i="54" s="1"/>
  <c r="AB19" i="54"/>
  <c r="E27" i="1"/>
  <c r="AA19" i="54" s="1"/>
  <c r="AB6" i="54"/>
  <c r="E14" i="1"/>
  <c r="AA6" i="54" s="1"/>
  <c r="E23" i="1"/>
  <c r="AA15" i="54" s="1"/>
  <c r="AB15" i="54"/>
  <c r="AB41" i="54"/>
  <c r="K11" i="1"/>
  <c r="AA41" i="54" s="1"/>
  <c r="K36" i="1"/>
  <c r="AA66" i="54" s="1"/>
  <c r="AB66" i="54"/>
  <c r="AB138" i="54"/>
  <c r="W36" i="1"/>
  <c r="AA138" i="54" s="1"/>
  <c r="W15" i="1"/>
  <c r="AA117" i="54" s="1"/>
  <c r="AB117" i="54"/>
  <c r="AB64" i="54"/>
  <c r="K34" i="1"/>
  <c r="AA64" i="54" s="1"/>
  <c r="W30" i="1"/>
  <c r="AA132" i="54" s="1"/>
  <c r="AB132" i="54"/>
  <c r="AB113" i="54"/>
  <c r="W11" i="1"/>
  <c r="AA113" i="54" s="1"/>
  <c r="AB110" i="54"/>
  <c r="Q44" i="1"/>
  <c r="AA110" i="54" s="1"/>
  <c r="AB134" i="54"/>
  <c r="W32" i="1"/>
  <c r="AA134" i="54" s="1"/>
  <c r="Q30" i="1"/>
  <c r="AA96" i="54" s="1"/>
  <c r="AB96" i="54"/>
  <c r="E32" i="1"/>
  <c r="AA24" i="54" s="1"/>
  <c r="AB24" i="54"/>
  <c r="AB91" i="54"/>
  <c r="Q25" i="1"/>
  <c r="AA91" i="54" s="1"/>
  <c r="Q31" i="1"/>
  <c r="AA97" i="54" s="1"/>
  <c r="AB97" i="54"/>
  <c r="AB72" i="54"/>
  <c r="K42" i="1"/>
  <c r="AA72" i="54" s="1"/>
  <c r="W39" i="1"/>
  <c r="AA141" i="54" s="1"/>
  <c r="AB141" i="54"/>
  <c r="AB121" i="54"/>
  <c r="W19" i="1"/>
  <c r="AA121" i="54" s="1"/>
  <c r="Q33" i="1"/>
  <c r="AA99" i="54" s="1"/>
  <c r="AB99" i="54"/>
  <c r="AB62" i="54"/>
  <c r="K32" i="1"/>
  <c r="AA62" i="54" s="1"/>
  <c r="AB83" i="54"/>
  <c r="Q17" i="1"/>
  <c r="AA83" i="54" s="1"/>
  <c r="Q16" i="1"/>
  <c r="AA82" i="54" s="1"/>
  <c r="W16" i="1"/>
  <c r="AA118" i="54" s="1"/>
  <c r="AB118" i="54"/>
  <c r="AB78" i="54"/>
  <c r="Q12" i="1"/>
  <c r="AA78" i="54" s="1"/>
  <c r="Q24" i="1"/>
  <c r="AA90" i="54" s="1"/>
  <c r="AB90" i="54"/>
  <c r="AB142" i="54"/>
  <c r="W40" i="1"/>
  <c r="AA142" i="54" s="1"/>
  <c r="AB114" i="54"/>
  <c r="W12" i="1"/>
  <c r="AA114" i="54" s="1"/>
  <c r="E19" i="1"/>
  <c r="AA11" i="54" s="1"/>
  <c r="AB11" i="54"/>
  <c r="K33" i="1"/>
  <c r="AA63" i="54" s="1"/>
  <c r="AB63" i="54"/>
  <c r="K45" i="1"/>
  <c r="AA75" i="54" s="1"/>
  <c r="AB75" i="54"/>
  <c r="AB140" i="54"/>
  <c r="W38" i="1"/>
  <c r="AA140" i="54" s="1"/>
  <c r="K46" i="1"/>
  <c r="AA76" i="54" s="1"/>
  <c r="AB76" i="54"/>
  <c r="K19" i="1"/>
  <c r="AA49" i="54" s="1"/>
  <c r="L57" i="63"/>
  <c r="AB49" i="54"/>
  <c r="Q22" i="1"/>
  <c r="AA88" i="54" s="1"/>
  <c r="AB88" i="54"/>
  <c r="W33" i="1"/>
  <c r="AA135" i="54" s="1"/>
  <c r="AB135" i="54"/>
  <c r="AB61" i="54"/>
  <c r="K31" i="1"/>
  <c r="AA61" i="54" s="1"/>
  <c r="AB92" i="54"/>
  <c r="Q26" i="1"/>
  <c r="AA92" i="54" s="1"/>
  <c r="AB136" i="54"/>
  <c r="W34" i="1"/>
  <c r="AA136" i="54" s="1"/>
  <c r="Q29" i="1"/>
  <c r="AA95" i="54" s="1"/>
  <c r="AB95" i="54"/>
  <c r="AB68" i="54"/>
  <c r="K38" i="1"/>
  <c r="AA68" i="54" s="1"/>
  <c r="AB100" i="54"/>
  <c r="Q34" i="1"/>
  <c r="AA100" i="54" s="1"/>
  <c r="E13" i="1"/>
  <c r="AA5" i="54" s="1"/>
  <c r="AB5" i="54"/>
  <c r="Q36" i="1"/>
  <c r="AA102" i="54" s="1"/>
  <c r="AB102" i="54"/>
  <c r="AB34" i="54" l="1"/>
  <c r="AB7" i="54"/>
  <c r="AB12" i="54"/>
  <c r="E16" i="1"/>
  <c r="AA8" i="54" s="1"/>
  <c r="AB28" i="54"/>
  <c r="AB21" i="54"/>
  <c r="AB33" i="54"/>
  <c r="E46" i="1"/>
  <c r="AA40" i="54" s="1"/>
  <c r="Z13" i="54"/>
  <c r="F47" i="1" s="1"/>
  <c r="P8" i="1" s="1"/>
  <c r="E39" i="1"/>
  <c r="AA31" i="54" s="1"/>
  <c r="E35" i="1"/>
  <c r="AA27" i="54" s="1"/>
  <c r="E24" i="1"/>
  <c r="AA16" i="54" s="1"/>
  <c r="AB32" i="54"/>
  <c r="E33" i="1"/>
  <c r="AA25" i="54" s="1"/>
  <c r="AB13" i="54"/>
  <c r="E21" i="1"/>
  <c r="AA13" i="54" l="1"/>
  <c r="Q8" i="1" s="1"/>
  <c r="R8" i="1"/>
  <c r="V8" i="1" s="1"/>
  <c r="P57" i="1" l="1"/>
  <c r="R57" i="1" s="1"/>
  <c r="R58" i="1" s="1"/>
  <c r="R10" i="54"/>
  <c r="T46" i="54" s="1"/>
  <c r="E18" i="43"/>
  <c r="D18" i="43" s="1"/>
  <c r="D29" i="63"/>
  <c r="C48" i="63"/>
  <c r="D29" i="45"/>
  <c r="D29" i="26"/>
  <c r="F44" i="43"/>
  <c r="R46" i="54" l="1"/>
  <c r="F43" i="43"/>
  <c r="K33" i="26" l="1"/>
  <c r="K33" i="63"/>
  <c r="K32" i="63"/>
  <c r="K32" i="26"/>
  <c r="K36" i="26"/>
  <c r="K36" i="63"/>
  <c r="F19" i="43" l="1"/>
  <c r="G18" i="43"/>
  <c r="D19" i="43" s="1"/>
  <c r="E23" i="43"/>
  <c r="E55" i="43" s="1"/>
  <c r="F24" i="43" l="1"/>
  <c r="G19" i="43"/>
  <c r="G23" i="43"/>
  <c r="D24" i="43"/>
  <c r="G24" i="43" l="1"/>
  <c r="G25" i="43" s="1"/>
  <c r="I35" i="63" l="1"/>
  <c r="C36" i="63"/>
  <c r="C36" i="26" l="1"/>
  <c r="H132" i="26" l="1"/>
  <c r="H198" i="26"/>
  <c r="H5" i="34"/>
  <c r="H68" i="34" s="1"/>
  <c r="H396" i="26"/>
  <c r="H330" i="26" s="1"/>
  <c r="H264" i="26" s="1"/>
  <c r="H67" i="26"/>
  <c r="H62" i="34"/>
  <c r="H393" i="26"/>
  <c r="H327" i="26"/>
  <c r="H459" i="26" l="1"/>
  <c r="H195" i="26"/>
  <c r="H261" i="26"/>
  <c r="F35" i="30" l="1"/>
  <c r="G35" i="30" s="1"/>
  <c r="F35" i="26"/>
  <c r="F35" i="63" l="1"/>
  <c r="J37" i="30"/>
  <c r="G35" i="26"/>
  <c r="G35" i="63"/>
  <c r="H47" i="1"/>
  <c r="J38" i="30" l="1"/>
  <c r="K28" i="30"/>
  <c r="K29" i="30"/>
  <c r="K37" i="30"/>
  <c r="K31" i="30"/>
  <c r="K30" i="30"/>
  <c r="J37" i="63"/>
  <c r="J37" i="26"/>
  <c r="K30" i="26" l="1"/>
  <c r="K30" i="63"/>
  <c r="K31" i="63"/>
  <c r="K31" i="26"/>
  <c r="K34" i="30"/>
  <c r="K28" i="26"/>
  <c r="K28" i="63"/>
  <c r="K38" i="30"/>
  <c r="K37" i="26"/>
  <c r="K37" i="63"/>
  <c r="K29" i="63"/>
  <c r="K29" i="26"/>
  <c r="J38" i="26"/>
  <c r="J38" i="63"/>
  <c r="K34" i="63" l="1"/>
  <c r="K34" i="26"/>
  <c r="K35" i="30"/>
  <c r="B38" i="30"/>
  <c r="K38" i="63"/>
  <c r="K38" i="26"/>
  <c r="B38" i="26" l="1"/>
  <c r="B38" i="63"/>
  <c r="B37" i="30"/>
  <c r="K35" i="26"/>
  <c r="K35" i="63"/>
  <c r="B37" i="26" l="1"/>
  <c r="B37" i="63"/>
  <c r="T26" i="54"/>
  <c r="T28" i="54" s="1"/>
  <c r="T27" i="54" s="1"/>
  <c r="D26" i="43"/>
  <c r="D12" i="44" l="1"/>
  <c r="F26" i="43" s="1"/>
  <c r="U28" i="54"/>
  <c r="D14" i="44" s="1"/>
  <c r="F28" i="43" s="1"/>
  <c r="U27" i="54"/>
  <c r="D13" i="44" s="1"/>
  <c r="F27" i="43" s="1"/>
  <c r="T29" i="54"/>
  <c r="U29" i="54" s="1"/>
  <c r="U26" i="54"/>
  <c r="D15" i="44" l="1"/>
  <c r="D30" i="44" s="1"/>
  <c r="U30" i="54"/>
  <c r="U31" i="54" s="1"/>
  <c r="G26" i="43"/>
  <c r="G27" i="43" s="1"/>
  <c r="G28" i="43" s="1"/>
  <c r="T42" i="54"/>
  <c r="F29" i="43" l="1"/>
  <c r="F55" i="43" s="1"/>
  <c r="C15" i="44"/>
  <c r="D29" i="43" s="1"/>
  <c r="R42" i="54"/>
  <c r="R43" i="54" s="1"/>
  <c r="R45" i="54" s="1"/>
  <c r="V42" i="54"/>
  <c r="T43" i="54"/>
  <c r="T45" i="54" s="1"/>
  <c r="R16" i="54"/>
  <c r="T16" i="54" s="1"/>
  <c r="R5" i="1"/>
  <c r="C30" i="43"/>
  <c r="D32" i="44"/>
  <c r="K6" i="1" s="1"/>
  <c r="C30" i="44" l="1"/>
  <c r="G29" i="43"/>
  <c r="G30" i="43" s="1"/>
  <c r="G32" i="43" s="1"/>
  <c r="G33" i="43" s="1"/>
  <c r="G34" i="43" s="1"/>
  <c r="G35" i="43" s="1"/>
  <c r="G36" i="43" s="1"/>
  <c r="G37" i="43" s="1"/>
  <c r="G38" i="43" s="1"/>
  <c r="G39" i="43" s="1"/>
  <c r="G40" i="43" s="1"/>
  <c r="G41" i="43" s="1"/>
  <c r="G42" i="43" s="1"/>
  <c r="G43" i="43" s="1"/>
  <c r="G44" i="43" s="1"/>
  <c r="G45" i="43" s="1"/>
  <c r="G46" i="43" s="1"/>
  <c r="G47" i="43" s="1"/>
  <c r="R17" i="54"/>
  <c r="T17" i="54" s="1"/>
  <c r="L6" i="1"/>
  <c r="C31" i="43"/>
  <c r="G52" i="43" l="1"/>
  <c r="G53" i="43" s="1"/>
  <c r="G54" i="43" s="1"/>
  <c r="G55" i="43" s="1"/>
  <c r="D56" i="43" l="1"/>
  <c r="G56" i="43"/>
  <c r="R6" i="1" s="1"/>
  <c r="D55" i="43"/>
  <c r="Q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Samsung</author>
  </authors>
  <commentList>
    <comment ref="B37" authorId="0" shapeId="0" xr:uid="{D7D38E68-BAA8-40A5-8D64-34C48F6BFD07}">
      <text>
        <r>
          <rPr>
            <b/>
            <sz val="9"/>
            <color indexed="81"/>
            <rFont val="Segoe UI"/>
            <family val="2"/>
          </rPr>
          <t>Samsung:</t>
        </r>
        <r>
          <rPr>
            <sz val="9"/>
            <color indexed="81"/>
            <rFont val="Segoe UI"/>
            <family val="2"/>
          </rPr>
          <t xml:space="preserve">
</t>
        </r>
      </text>
    </comment>
    <comment ref="C54" authorId="0" shapeId="0" xr:uid="{883E0E2C-CD82-4840-BEA1-1D7C5C0848B1}">
      <text>
        <r>
          <rPr>
            <b/>
            <sz val="9"/>
            <color indexed="81"/>
            <rFont val="Segoe UI"/>
            <family val="2"/>
          </rPr>
          <t>Samsung:</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computador suporte</author>
  </authors>
  <commentList>
    <comment ref="A2" authorId="0" shapeId="0" xr:uid="{00000000-0006-0000-1300-000001000000}">
      <text>
        <r>
          <rPr>
            <b/>
            <sz val="9"/>
            <color indexed="81"/>
            <rFont val="Tahoma"/>
            <family val="2"/>
          </rPr>
          <t>computador suporte:</t>
        </r>
        <r>
          <rPr>
            <sz val="9"/>
            <color indexed="81"/>
            <rFont val="Tahoma"/>
            <family val="2"/>
          </rPr>
          <t xml:space="preserve">
</t>
        </r>
      </text>
    </comment>
  </commentList>
</comments>
</file>

<file path=xl/sharedStrings.xml><?xml version="1.0" encoding="utf-8"?>
<sst xmlns="http://schemas.openxmlformats.org/spreadsheetml/2006/main" count="1686" uniqueCount="974">
  <si>
    <t xml:space="preserve">FICHA CADASTRAL ENVIAR : </t>
  </si>
  <si>
    <t>SHOPMOVEIS@HOTMAIL.COM.BR</t>
  </si>
  <si>
    <t>Código Loja na Fábrica :</t>
  </si>
  <si>
    <t xml:space="preserve">  </t>
  </si>
  <si>
    <t xml:space="preserve"> Cód. Representação:</t>
  </si>
  <si>
    <t>Validade Sistema :</t>
  </si>
  <si>
    <t>DADOS DO PROPRIETÁRIO</t>
  </si>
  <si>
    <t>Data Atualização:</t>
  </si>
  <si>
    <t>1) Nome completo / CPF</t>
  </si>
  <si>
    <t xml:space="preserve"> Telefone pessoal</t>
  </si>
  <si>
    <t xml:space="preserve"> E-mail pessoal</t>
  </si>
  <si>
    <t>2) Nome completo / CPF</t>
  </si>
  <si>
    <t>DADOS DA EMPRESA</t>
  </si>
  <si>
    <t xml:space="preserve"> Razão Social</t>
  </si>
  <si>
    <t xml:space="preserve"> Nome fantasia</t>
  </si>
  <si>
    <t xml:space="preserve"> Fones / Fone Chat</t>
  </si>
  <si>
    <t>Marca da Fábrica Principal</t>
  </si>
  <si>
    <t>ByDesigner</t>
  </si>
  <si>
    <t>LOJA</t>
  </si>
  <si>
    <t xml:space="preserve"> Endereço completo</t>
  </si>
  <si>
    <t xml:space="preserve"> Bairro</t>
  </si>
  <si>
    <t xml:space="preserve"> CEP</t>
  </si>
  <si>
    <t xml:space="preserve"> Cidade / UF</t>
  </si>
  <si>
    <t>UF</t>
  </si>
  <si>
    <t>RJ</t>
  </si>
  <si>
    <t xml:space="preserve"> CNPJ / Inscrição Estadual</t>
  </si>
  <si>
    <t>Insc. Estadual</t>
  </si>
  <si>
    <t xml:space="preserve"> Situação Cadastral na Fiscalização</t>
  </si>
  <si>
    <t xml:space="preserve">( X ) Ativa  </t>
  </si>
  <si>
    <t xml:space="preserve"> (   ) Inativa</t>
  </si>
  <si>
    <t xml:space="preserve"> Responsável por pedidos/telefone</t>
  </si>
  <si>
    <t>Site da Loja</t>
  </si>
  <si>
    <t xml:space="preserve"> E-mail de  Confirmação de Pedidos</t>
  </si>
  <si>
    <t xml:space="preserve"> Responsável financeiro/telefone</t>
  </si>
  <si>
    <t xml:space="preserve"> E-mail para envio Nota Fiscal</t>
  </si>
  <si>
    <t>Escolha Garantia da loja aos clientes</t>
  </si>
  <si>
    <t>da Lei do consumidor.</t>
  </si>
  <si>
    <t>de 1 ano.</t>
  </si>
  <si>
    <t>de 3 anos.</t>
  </si>
  <si>
    <t>de 5 anos.</t>
  </si>
  <si>
    <t>de 7 anos.</t>
  </si>
  <si>
    <t>de 10 anos.</t>
  </si>
  <si>
    <t xml:space="preserve"> Tipo de Loja   </t>
  </si>
  <si>
    <t xml:space="preserve">        (      ) Multimarcas         </t>
  </si>
  <si>
    <t>PRAZO ENTREGA (dias)</t>
  </si>
  <si>
    <t>Fábricas que  trabalha</t>
  </si>
  <si>
    <t>Jaeli</t>
  </si>
  <si>
    <t>até 40 dias úteis</t>
  </si>
  <si>
    <t>Fábricas Parceiras</t>
  </si>
  <si>
    <t>Euronobre</t>
  </si>
  <si>
    <t>Colortec</t>
  </si>
  <si>
    <t xml:space="preserve">    CPF    </t>
  </si>
  <si>
    <t xml:space="preserve">NOME EQUIPE DA LOJA  </t>
  </si>
  <si>
    <t>FONE EQUIPE</t>
  </si>
  <si>
    <t>Nº</t>
  </si>
  <si>
    <t>E_mail</t>
  </si>
  <si>
    <t>DADOS COMERCIAIS</t>
  </si>
  <si>
    <t>Tem Financeiras:</t>
  </si>
  <si>
    <t>Trabalha com Cartão de crédito:</t>
  </si>
  <si>
    <t>DADOS DE ENTREGA E TRANSPORTE</t>
  </si>
  <si>
    <t>Trabalha com lojistica da Transportadora?</t>
  </si>
  <si>
    <t>Niterói - Sebastião</t>
  </si>
  <si>
    <t>(21) 96494-9780</t>
  </si>
  <si>
    <t>2) Endereço completo p/ Recebimento</t>
  </si>
  <si>
    <t>3) Bairro completo p/ Recebimento</t>
  </si>
  <si>
    <t>CEP</t>
  </si>
  <si>
    <t>4) Cidade completo p/ Recebimento</t>
  </si>
  <si>
    <t>(20%) Perc. Montagem do valor de Compra</t>
  </si>
  <si>
    <t>(8%) Perc. Montagem do valor de Venda á vista</t>
  </si>
  <si>
    <t>Outros</t>
  </si>
  <si>
    <t>http://bydesigner.com.br/categoria</t>
  </si>
  <si>
    <t>fotopessoal.png</t>
  </si>
  <si>
    <t>telefone-empresa.png</t>
  </si>
  <si>
    <t>bydesigner.com.br</t>
  </si>
  <si>
    <t>moveisplanejados.pgn</t>
  </si>
  <si>
    <t>intagran.png</t>
  </si>
  <si>
    <t>https://www.instagran.com.br</t>
  </si>
  <si>
    <t>facebook.png</t>
  </si>
  <si>
    <t>anim.gif</t>
  </si>
  <si>
    <t>cargo-gerente.png</t>
  </si>
  <si>
    <t>email.png</t>
  </si>
  <si>
    <t>fotos ou youtube</t>
  </si>
  <si>
    <t>garantia-5anos.png</t>
  </si>
  <si>
    <t>website.png</t>
  </si>
  <si>
    <t>https://www.bydesigner.com.br</t>
  </si>
  <si>
    <t>localizacao.png</t>
  </si>
  <si>
    <t>midias.png</t>
  </si>
  <si>
    <t xml:space="preserve">  =rcWJrOefJG8&amp;t</t>
  </si>
  <si>
    <t xml:space="preserve">  https://maps.app.goo.gl/qCXBG1FyeEJATP8a6</t>
  </si>
  <si>
    <t xml:space="preserve">  =rcWJrOefJG8</t>
  </si>
  <si>
    <t>moveismodulados.pgn</t>
  </si>
  <si>
    <t>Escolha sua Transportadora - Inclui Frete pro Rio - Logística - Entrega no Consumidor.</t>
  </si>
  <si>
    <t>logistica@competenzalog.net</t>
  </si>
  <si>
    <t>RS - Daniel</t>
  </si>
  <si>
    <t>(54) 99225-5656</t>
  </si>
  <si>
    <t>Rio - Sebastião (Nova Iguaçú)</t>
  </si>
  <si>
    <t>operacionalrj@marinlogistica.com</t>
  </si>
  <si>
    <t xml:space="preserve"> Marin</t>
  </si>
  <si>
    <t>RS - Wagner Marin</t>
  </si>
  <si>
    <t>Rio - Renato (Caxias)</t>
  </si>
  <si>
    <t>(21) 97499-3413</t>
  </si>
  <si>
    <t>logisticarj@mericalog.com</t>
  </si>
  <si>
    <t xml:space="preserve">  Mérica</t>
  </si>
  <si>
    <t>RS - Elton</t>
  </si>
  <si>
    <t>(54) 99157-1412</t>
  </si>
  <si>
    <t>Rio - Guilherme (Jardim América)</t>
  </si>
  <si>
    <t>(21) 99132-9800</t>
  </si>
  <si>
    <t>Niterói - Guilherme</t>
  </si>
  <si>
    <t>Garantia de 5 anos dado pela fábrica ao lojista, conforme certificado de garantia no sistema em MÓVEIS (caixaria, portas chapas), Campos, painéis prateleiras (MDF/MDP)</t>
  </si>
  <si>
    <t xml:space="preserve">Equipe de Montagem  :     Nome    </t>
  </si>
  <si>
    <t xml:space="preserve">CPF     </t>
  </si>
  <si>
    <t>Nota</t>
  </si>
  <si>
    <t xml:space="preserve">Contato  </t>
  </si>
  <si>
    <t>(21) 99999999-9999</t>
  </si>
  <si>
    <t>montador 2</t>
  </si>
  <si>
    <t>CPF 53727602999</t>
  </si>
  <si>
    <t>(21) 99999999-1000</t>
  </si>
  <si>
    <t>montador 3</t>
  </si>
  <si>
    <t>CPF 53727603000</t>
  </si>
  <si>
    <t>(21) 9999999-10001</t>
  </si>
  <si>
    <t>0 Ficha  Loja</t>
  </si>
  <si>
    <t>Pág. 1/1</t>
  </si>
  <si>
    <t xml:space="preserve"> Sistema ByDesigner Desenvolvido Neri (21) 97014-2420</t>
  </si>
  <si>
    <t>ORÇAMENTO DO PROJETO DE PLANEJADOS</t>
  </si>
  <si>
    <t>NOME FANTASIA :</t>
  </si>
  <si>
    <t>RAZÃO SOCIAL :</t>
  </si>
  <si>
    <t>Pedido Número</t>
  </si>
  <si>
    <t>CNPJ / I.Estadual :</t>
  </si>
  <si>
    <t>ENDEREÇO :</t>
  </si>
  <si>
    <t>DATA DO CONTATO</t>
  </si>
  <si>
    <t>BAIRRO/TELEFONE :</t>
  </si>
  <si>
    <t>E-MAIL :</t>
  </si>
  <si>
    <t>DADOS DO CLIENTE</t>
  </si>
  <si>
    <t>Profissão:</t>
  </si>
  <si>
    <t xml:space="preserve"> </t>
  </si>
  <si>
    <t>CLIENTE:</t>
  </si>
  <si>
    <t>CNPJ/CPF:</t>
  </si>
  <si>
    <t xml:space="preserve"> INSCRIÇÃO ESTADUAL:</t>
  </si>
  <si>
    <t>Identidade:</t>
  </si>
  <si>
    <t>Emissão:</t>
  </si>
  <si>
    <t>Nascimento:</t>
  </si>
  <si>
    <t>ENDEREÇO:</t>
  </si>
  <si>
    <t>Indicação:</t>
  </si>
  <si>
    <t>BAIRRO:</t>
  </si>
  <si>
    <t>CIDADE/UF:</t>
  </si>
  <si>
    <t xml:space="preserve"> Rio de Janeiro</t>
  </si>
  <si>
    <t xml:space="preserve"> RJ</t>
  </si>
  <si>
    <t>FONES:</t>
  </si>
  <si>
    <t>E-MAIL:</t>
  </si>
  <si>
    <t>END. ENTREGA:</t>
  </si>
  <si>
    <t xml:space="preserve">ACIMA </t>
  </si>
  <si>
    <t>Prazo Entrega:</t>
  </si>
  <si>
    <t>Rio de Janeiro</t>
  </si>
  <si>
    <t>DADOS DA COMPRA</t>
  </si>
  <si>
    <t>ITEM</t>
  </si>
  <si>
    <t>QTD</t>
  </si>
  <si>
    <t>DESCRIÇÃO (PRODUTO /  AMBIENTE)</t>
  </si>
  <si>
    <t>P. ENTREGA</t>
  </si>
  <si>
    <t>VALOR BRUTO</t>
  </si>
  <si>
    <t>VALOR COM DESCONTO</t>
  </si>
  <si>
    <t>Valor de Sinal</t>
  </si>
  <si>
    <t>PARCELAS</t>
  </si>
  <si>
    <t>QTD PARC.</t>
  </si>
  <si>
    <t>VL PARC.</t>
  </si>
  <si>
    <t xml:space="preserve"> Total Pagto</t>
  </si>
  <si>
    <t>Total dos Itens</t>
  </si>
  <si>
    <t>OBS.</t>
  </si>
  <si>
    <t xml:space="preserve">Total Bruto Produto   </t>
  </si>
  <si>
    <t>Total  do Desconto</t>
  </si>
  <si>
    <t>Total  Final do Pedido</t>
  </si>
  <si>
    <t>CAIXA</t>
  </si>
  <si>
    <t>PORTA</t>
  </si>
  <si>
    <t>PUXADOR</t>
  </si>
  <si>
    <t>COMPLEMENTO</t>
  </si>
  <si>
    <t>MODELO</t>
  </si>
  <si>
    <t xml:space="preserve"> Gold</t>
  </si>
  <si>
    <t xml:space="preserve"> OBSERVAÇÃO PRA VENDA</t>
  </si>
  <si>
    <t>OBSERVAÇÃO DO AMBIENTE NA MONTAGEM PARA O MONTADOR</t>
  </si>
  <si>
    <t>Contratada :</t>
  </si>
  <si>
    <t>Contratante:</t>
  </si>
  <si>
    <t>1 Ficha Comprador</t>
  </si>
  <si>
    <t>Solicitação de projeto de moveis planejados</t>
  </si>
  <si>
    <t>Data solicitação :</t>
  </si>
  <si>
    <t>Nome:</t>
  </si>
  <si>
    <t>Endereço:</t>
  </si>
  <si>
    <t>Telefone:</t>
  </si>
  <si>
    <t>Email:</t>
  </si>
  <si>
    <t>Como conheceu a loja:</t>
  </si>
  <si>
    <t>Data do 1º contato com a loja:</t>
  </si>
  <si>
    <t>Arquiteto, engenheiro, construtora ou algum outro profissional no desenvolvimento do projeto</t>
  </si>
  <si>
    <t>Metragem quadrada da obra</t>
  </si>
  <si>
    <t>Data para tirar medida</t>
  </si>
  <si>
    <t>Data para apresentação</t>
  </si>
  <si>
    <t>Indentificação dos moradores</t>
  </si>
  <si>
    <t>Solteiro:</t>
  </si>
  <si>
    <t>Animais de estimação:</t>
  </si>
  <si>
    <t>Casal:</t>
  </si>
  <si>
    <t>Outro:</t>
  </si>
  <si>
    <t>Filhos:</t>
  </si>
  <si>
    <t>Ambientes desejados, colocar medidas eletros do projeto abaixo:</t>
  </si>
  <si>
    <t>Já conhece o material usado na fabricação dos moveis planejados? 2)  Já fez algum orçamento?</t>
  </si>
  <si>
    <t>1)</t>
  </si>
  <si>
    <t>2)</t>
  </si>
  <si>
    <t>3)</t>
  </si>
  <si>
    <t>Tem noção de valor a ser investido por ambiente:</t>
  </si>
  <si>
    <t>Prazo para aquisição do movel:</t>
  </si>
  <si>
    <t>Imediato?</t>
  </si>
  <si>
    <t>30 dias?</t>
  </si>
  <si>
    <t>XX dias?</t>
  </si>
  <si>
    <t xml:space="preserve">  Obs.</t>
  </si>
  <si>
    <t>Venda futura?</t>
  </si>
  <si>
    <t>Prazo?</t>
  </si>
  <si>
    <t>Forma de pagamento desejada:</t>
  </si>
  <si>
    <t>A vista</t>
  </si>
  <si>
    <t>Sinal =</t>
  </si>
  <si>
    <t xml:space="preserve"> Parcelas x :</t>
  </si>
  <si>
    <t>Valor Parc.</t>
  </si>
  <si>
    <t>Santander</t>
  </si>
  <si>
    <t>Cartão de débito</t>
  </si>
  <si>
    <t>Cartão de crédito</t>
  </si>
  <si>
    <t>Observações:</t>
  </si>
  <si>
    <t>2 Ficha Técnica do Levantamento</t>
  </si>
  <si>
    <t>Versão</t>
  </si>
  <si>
    <t>D.Entrega</t>
  </si>
  <si>
    <t>Diversos</t>
  </si>
  <si>
    <t xml:space="preserve"> Vendedor(a)      </t>
  </si>
  <si>
    <t>Total Bruto = Projeto+Diversos</t>
  </si>
  <si>
    <t>DESCONTO PROMOCIONAL DO DIA</t>
  </si>
  <si>
    <t>F</t>
  </si>
  <si>
    <t>Cl i e n t e</t>
  </si>
  <si>
    <t xml:space="preserve">Valor de Sinal </t>
  </si>
  <si>
    <t>Preço Projeto</t>
  </si>
  <si>
    <t>Promoção válida no dia orçamento.</t>
  </si>
  <si>
    <t>D</t>
  </si>
  <si>
    <t>Fábrica</t>
  </si>
  <si>
    <t>Saldo a Parcelar</t>
  </si>
  <si>
    <t>Preço Extras</t>
  </si>
  <si>
    <t>Código Venda</t>
  </si>
  <si>
    <t xml:space="preserve">% Desconto Loja </t>
  </si>
  <si>
    <t>%  Adm.</t>
  </si>
  <si>
    <t>L</t>
  </si>
  <si>
    <t>Material</t>
  </si>
  <si>
    <t xml:space="preserve"> MDP Branco/ Beton</t>
  </si>
  <si>
    <t>Total à Vista</t>
  </si>
  <si>
    <t>Total Bruto</t>
  </si>
  <si>
    <t>Projeto Personalizado</t>
  </si>
  <si>
    <t>Resumo Total da compra "Escolha as Parcelas na L8" =</t>
  </si>
  <si>
    <t>Sinal  =</t>
  </si>
  <si>
    <t>Parcelas =</t>
  </si>
  <si>
    <t xml:space="preserve">(30) 0+10=10 X </t>
  </si>
  <si>
    <t xml:space="preserve">(0) 1+04=05 X </t>
  </si>
  <si>
    <t>x</t>
  </si>
  <si>
    <t>Total á Pagar =</t>
  </si>
  <si>
    <t>Pagto com Entrada</t>
  </si>
  <si>
    <t>Acres.</t>
  </si>
  <si>
    <t>Valor</t>
  </si>
  <si>
    <t>Pagto Entrada 1ª  30dd</t>
  </si>
  <si>
    <t>Pagto Entrada 1ª  60dd</t>
  </si>
  <si>
    <t>Pagto Entrada 1ª  90dd</t>
  </si>
  <si>
    <t>Valor Parcela</t>
  </si>
  <si>
    <t>Desc.</t>
  </si>
  <si>
    <t>Total</t>
  </si>
  <si>
    <t xml:space="preserve">(0) 1+00=01 X </t>
  </si>
  <si>
    <t xml:space="preserve">(30) 0+01=01 X </t>
  </si>
  <si>
    <t xml:space="preserve">(60) 0+01=01 X </t>
  </si>
  <si>
    <t xml:space="preserve">(90) 0+01=01 X </t>
  </si>
  <si>
    <t xml:space="preserve">(0) 1+01=02 X </t>
  </si>
  <si>
    <t xml:space="preserve">(30) 0+02=02 X </t>
  </si>
  <si>
    <t xml:space="preserve">(60) 0+02=02 X </t>
  </si>
  <si>
    <t xml:space="preserve">(90) 0+02=02 X </t>
  </si>
  <si>
    <t xml:space="preserve">(0) 1+02=03 X </t>
  </si>
  <si>
    <t xml:space="preserve">(30) 0+03=03 X </t>
  </si>
  <si>
    <t xml:space="preserve">(60) 0+03=03 X </t>
  </si>
  <si>
    <t xml:space="preserve">(90) 0+03=03 X </t>
  </si>
  <si>
    <t xml:space="preserve">(0) 1+03=04 X </t>
  </si>
  <si>
    <t xml:space="preserve">(30) 0+04=04 X </t>
  </si>
  <si>
    <t xml:space="preserve">(60) 0+04=04 X </t>
  </si>
  <si>
    <t xml:space="preserve">(90) 0+04=04 X </t>
  </si>
  <si>
    <t xml:space="preserve">(30) 0+05=05 X </t>
  </si>
  <si>
    <t xml:space="preserve">(60) 0+05=05 X </t>
  </si>
  <si>
    <t xml:space="preserve">(90) 0+05=05 X </t>
  </si>
  <si>
    <t xml:space="preserve">(0) 1+05=06 X </t>
  </si>
  <si>
    <t xml:space="preserve">(30) 0+06=06 X </t>
  </si>
  <si>
    <t xml:space="preserve">(60) 0+06=06 X </t>
  </si>
  <si>
    <t xml:space="preserve">(90) 0+06=06 X </t>
  </si>
  <si>
    <t xml:space="preserve">(0) 1+06=07 X </t>
  </si>
  <si>
    <t xml:space="preserve">(30) 0+07=07 X </t>
  </si>
  <si>
    <t xml:space="preserve">(60) 0+07=07 X </t>
  </si>
  <si>
    <t xml:space="preserve">(90) 0+07=07 X </t>
  </si>
  <si>
    <t xml:space="preserve">(0) 1+07=08 X </t>
  </si>
  <si>
    <t xml:space="preserve">(30) 0+08=08 X </t>
  </si>
  <si>
    <t xml:space="preserve">(60) 0+08=08 X </t>
  </si>
  <si>
    <t xml:space="preserve">(90) 0+08=08 X </t>
  </si>
  <si>
    <t xml:space="preserve">(0) 1+08=09 X </t>
  </si>
  <si>
    <t xml:space="preserve">(30) 0+09=09 X </t>
  </si>
  <si>
    <t xml:space="preserve">(60) 0+09=09 X </t>
  </si>
  <si>
    <t xml:space="preserve">(90) 0+09=09 X </t>
  </si>
  <si>
    <t xml:space="preserve">(0) 1+09=10 X </t>
  </si>
  <si>
    <t xml:space="preserve">(60) 0+10=10 X </t>
  </si>
  <si>
    <t xml:space="preserve">(90) 0+10=10 X </t>
  </si>
  <si>
    <t xml:space="preserve">(0) 1+10=11 X </t>
  </si>
  <si>
    <t xml:space="preserve">(30) 0+11=11 X </t>
  </si>
  <si>
    <t xml:space="preserve">(60) 0+11=11 X </t>
  </si>
  <si>
    <t xml:space="preserve">(90) 0+11=11 X </t>
  </si>
  <si>
    <t xml:space="preserve">(0) 1+11=12 X </t>
  </si>
  <si>
    <t xml:space="preserve">(30) 0+12=12 X </t>
  </si>
  <si>
    <t xml:space="preserve">(60) 0+12=12 X </t>
  </si>
  <si>
    <t xml:space="preserve">(90) 0+12=12 X </t>
  </si>
  <si>
    <t xml:space="preserve">(0) 1+12=13 X </t>
  </si>
  <si>
    <t xml:space="preserve">(30) 0+13=13 X </t>
  </si>
  <si>
    <t xml:space="preserve">(60) 0+13=13 X </t>
  </si>
  <si>
    <t xml:space="preserve">(90) 0+13=13 X </t>
  </si>
  <si>
    <t xml:space="preserve">(0) 1+13=14 X </t>
  </si>
  <si>
    <t xml:space="preserve">(30) 0+14=14 X </t>
  </si>
  <si>
    <t xml:space="preserve">(60) 0+14=14 X </t>
  </si>
  <si>
    <t xml:space="preserve">(90) 0+14=14 X </t>
  </si>
  <si>
    <t xml:space="preserve">(0) 1+14=15 X </t>
  </si>
  <si>
    <t xml:space="preserve">(30) 0+15=15 X </t>
  </si>
  <si>
    <t xml:space="preserve">(60) 0+15=15 X </t>
  </si>
  <si>
    <t xml:space="preserve">(90) 0+15=15 X </t>
  </si>
  <si>
    <t xml:space="preserve">(0) 1+15=16 X </t>
  </si>
  <si>
    <t xml:space="preserve">(30) 0+16=16 X </t>
  </si>
  <si>
    <t xml:space="preserve">(60) 0+16=16 X </t>
  </si>
  <si>
    <t xml:space="preserve">(90) 0+16=16 X </t>
  </si>
  <si>
    <t xml:space="preserve">(0) 1+16=17 X </t>
  </si>
  <si>
    <t xml:space="preserve">(30) 0+17=17 X </t>
  </si>
  <si>
    <t xml:space="preserve">(60) 0+17=17 X </t>
  </si>
  <si>
    <t xml:space="preserve">(90) 0+17=17 X </t>
  </si>
  <si>
    <t xml:space="preserve">(0) 1+17=18 X </t>
  </si>
  <si>
    <t xml:space="preserve">(30) 0+18=18 X </t>
  </si>
  <si>
    <t xml:space="preserve">(60) 0+18=18 X </t>
  </si>
  <si>
    <t xml:space="preserve">(90) 0+18=18 X </t>
  </si>
  <si>
    <t xml:space="preserve">(0) 1+18=19X </t>
  </si>
  <si>
    <t xml:space="preserve">(30) 0+19=19X </t>
  </si>
  <si>
    <t xml:space="preserve">(60) 0+19=19X </t>
  </si>
  <si>
    <t xml:space="preserve">(90) 0+19=19X </t>
  </si>
  <si>
    <t xml:space="preserve">(0) 1+19=20 X </t>
  </si>
  <si>
    <t xml:space="preserve">(30) 0+20=20 X </t>
  </si>
  <si>
    <t xml:space="preserve">(60) 0+20=20 X </t>
  </si>
  <si>
    <t xml:space="preserve">(90) 0+20=20 X </t>
  </si>
  <si>
    <t xml:space="preserve">(0) 1+20=21 X </t>
  </si>
  <si>
    <t xml:space="preserve">(30) 0+21=21 X </t>
  </si>
  <si>
    <t xml:space="preserve">(60) 0+21=21 X </t>
  </si>
  <si>
    <t xml:space="preserve">(90) 0+21=21 X </t>
  </si>
  <si>
    <t xml:space="preserve">(0) 1+21=22 X </t>
  </si>
  <si>
    <t xml:space="preserve">(30) 0+22=22 X </t>
  </si>
  <si>
    <t xml:space="preserve">(60) 0+22=22 X </t>
  </si>
  <si>
    <t xml:space="preserve">(90) 0+22=22 X </t>
  </si>
  <si>
    <t xml:space="preserve">(0) 1+22=23 X </t>
  </si>
  <si>
    <t xml:space="preserve">(30) 0+23=23 X </t>
  </si>
  <si>
    <t xml:space="preserve">(60) 0+23=23 X </t>
  </si>
  <si>
    <t xml:space="preserve">(90) 0+23=23 X </t>
  </si>
  <si>
    <t xml:space="preserve">(0) 1+23=24 X </t>
  </si>
  <si>
    <t xml:space="preserve">(30) 0+24=24 X </t>
  </si>
  <si>
    <t xml:space="preserve">(60) 0+24=24 X </t>
  </si>
  <si>
    <t xml:space="preserve">(90) 0+24=24 X </t>
  </si>
  <si>
    <t xml:space="preserve">(0) 1+24=25 X </t>
  </si>
  <si>
    <t xml:space="preserve">(30) 0+25=25 X </t>
  </si>
  <si>
    <t xml:space="preserve">(60) 0+25=25 X </t>
  </si>
  <si>
    <t xml:space="preserve">(90) 0+25=25 X </t>
  </si>
  <si>
    <t xml:space="preserve">(0) 1+25=26 X </t>
  </si>
  <si>
    <t xml:space="preserve">(30) 0+26=26 X </t>
  </si>
  <si>
    <t xml:space="preserve">(60) 0+26=26 X </t>
  </si>
  <si>
    <t xml:space="preserve">(90) 0+26=26 X </t>
  </si>
  <si>
    <t xml:space="preserve">(0) 1+26=27 X </t>
  </si>
  <si>
    <t xml:space="preserve">(30) 0+27=27 X </t>
  </si>
  <si>
    <t xml:space="preserve">(60) 0+27=27 X </t>
  </si>
  <si>
    <t xml:space="preserve">(90) 0+27=27 X </t>
  </si>
  <si>
    <t xml:space="preserve">(0) 1+27=28 X </t>
  </si>
  <si>
    <t xml:space="preserve">(30) 0+28=28 X </t>
  </si>
  <si>
    <t xml:space="preserve">(60) 0+28=28 X </t>
  </si>
  <si>
    <t xml:space="preserve">(90) 0+28=28 X </t>
  </si>
  <si>
    <t xml:space="preserve">(0) 1+28=29 X </t>
  </si>
  <si>
    <t xml:space="preserve">(30) 0+29=29 X </t>
  </si>
  <si>
    <t xml:space="preserve">(60) 0+29=29 X </t>
  </si>
  <si>
    <t xml:space="preserve">(90) 0+29=29 X </t>
  </si>
  <si>
    <t xml:space="preserve">(0) 1+29=30 X </t>
  </si>
  <si>
    <t xml:space="preserve">(30) 0+30=30 X </t>
  </si>
  <si>
    <t xml:space="preserve">(60) 0+30=30 X </t>
  </si>
  <si>
    <t xml:space="preserve">(90) 0+30=30 X </t>
  </si>
  <si>
    <t xml:space="preserve">(0) 1+30=31 X </t>
  </si>
  <si>
    <t xml:space="preserve">(30) 0+31=31 X </t>
  </si>
  <si>
    <t xml:space="preserve">(60) 0+31=31 X </t>
  </si>
  <si>
    <t xml:space="preserve">(90) 0+31=31 X </t>
  </si>
  <si>
    <t xml:space="preserve">(0) 1+31=32 X </t>
  </si>
  <si>
    <t xml:space="preserve">(30) 0+32=32 X </t>
  </si>
  <si>
    <t xml:space="preserve">(60) 0+32=32 X </t>
  </si>
  <si>
    <t xml:space="preserve">(90) 0+32=32 X </t>
  </si>
  <si>
    <t xml:space="preserve">(0) 1+32=33 X </t>
  </si>
  <si>
    <t xml:space="preserve">(30) 0+33=33 X </t>
  </si>
  <si>
    <t xml:space="preserve">(60) 0+33=33 X </t>
  </si>
  <si>
    <t xml:space="preserve">(90) 0+33=33 X </t>
  </si>
  <si>
    <t xml:space="preserve">(0) 1+33=34 X </t>
  </si>
  <si>
    <t xml:space="preserve">(30) 0+34=34 X </t>
  </si>
  <si>
    <t xml:space="preserve">(60) 0+34=34 X </t>
  </si>
  <si>
    <t xml:space="preserve">(90) 0+34=34 X </t>
  </si>
  <si>
    <t xml:space="preserve">(0) 1+34=35 X </t>
  </si>
  <si>
    <t xml:space="preserve">(30) 0+35=35 X </t>
  </si>
  <si>
    <t xml:space="preserve">(60) 0+35=35 X </t>
  </si>
  <si>
    <t xml:space="preserve">(90) 0+35=35 X </t>
  </si>
  <si>
    <t xml:space="preserve">(0) 1+35=36 X </t>
  </si>
  <si>
    <t xml:space="preserve">(30) 0+36=36 X </t>
  </si>
  <si>
    <t xml:space="preserve">(60) 0+36=36 X </t>
  </si>
  <si>
    <t xml:space="preserve">(90) 0+36=36 X </t>
  </si>
  <si>
    <t>3 Orçamento</t>
  </si>
  <si>
    <t>orçto</t>
  </si>
  <si>
    <t>DATA DA PROPOSTA</t>
  </si>
  <si>
    <t>CPF/CNPJ</t>
  </si>
  <si>
    <t xml:space="preserve">   </t>
  </si>
  <si>
    <t>Prazo Entrega</t>
  </si>
  <si>
    <t xml:space="preserve">DESCRIÇÃO AMBIENTE/PRODUTO  </t>
  </si>
  <si>
    <t>PROPOSTA QUE PODE SER DEFINIDA PELO CLIENTE COM VALOR SINAL E MAIS PARCELAS EM ATÉ 12 PARCELAS COM A PRIMEIRA PRA 30 DIAS.</t>
  </si>
  <si>
    <t>Observações do orçamento:</t>
  </si>
  <si>
    <t>3.1Impressão</t>
  </si>
  <si>
    <t>CONTRATADA</t>
  </si>
  <si>
    <t>FICHA CADASTRAL</t>
  </si>
  <si>
    <t>CNPJ/CPF</t>
  </si>
  <si>
    <t>4 Contrato</t>
  </si>
  <si>
    <t>Pág. 1/7</t>
  </si>
  <si>
    <t>(21) 98359-0012</t>
  </si>
  <si>
    <t>CONTRATO DE COMPRA E VENDA DE PRODUTOS E DE PRESTAÇÃO DE SERVIÇO</t>
  </si>
  <si>
    <r>
      <rPr>
        <b/>
        <sz val="11"/>
        <rFont val="Arial"/>
        <family val="2"/>
      </rPr>
      <t>CLAUSULA PRIMEIRA - PARTES CONTRATANTES</t>
    </r>
    <r>
      <rPr>
        <sz val="11"/>
        <rFont val="Arial"/>
        <family val="2"/>
      </rPr>
      <t xml:space="preserve">
1.1 O CONTRATANTE, conforme descrito no pedido anexo, que integra e possui o mesmo número deste CONTRATO DE COMPRA E VENDA DE PRODUTOS E DE PRESTAÇÃO DE SERVIÇOS, na melhor forma de direito, contrata em caráter irrevogável e irretratável a empresa CONTRATADA, pessoa física de direito privado, cessionária exclusiva da marca CONTRATADA, com sede da mesma, doravante denominada simplesmente CONTRATADA, para vender e faturar diretamente em nome do CONTRATANTE os produtos descritos no pedido supracitado e os serviços pertinentes, conforme cláusulas e condições abaixo descritas:
</t>
    </r>
    <r>
      <rPr>
        <b/>
        <sz val="11"/>
        <rFont val="Arial"/>
        <family val="2"/>
      </rPr>
      <t xml:space="preserve">
CLAUSULA SEGUNDA - OBJETO E PREÇO
</t>
    </r>
    <r>
      <rPr>
        <sz val="11"/>
        <rFont val="Arial"/>
        <family val="2"/>
      </rPr>
      <t xml:space="preserve">2.1 O CONTRATANTE através dos pagamentos descritos no pedido anexo, integrante deste contrato, e providências contratuais complementares também constantes no presente contrato, receberá os produtos descritos e de fabricação das empresas mencionadas no pedido supracitado bem como a prestação dos serviços pertinentes, de acordo com os projetos anexos, os quais, vistados pelas partes, integram e constituem compromissos únicos deste contrato.
2.2 SERVIÇOS: Atendimento e interpretação das necessidades do cliente, através da demonstração de produtos na loja, orientação técnica e comercial, desenvolvimento de projetos, conferência das medidas do local de montagem, fornecimento de acessórios, transporte e montagem, desde a pré-venda até a conclusão de instalação conforme projetos integrantes deste contrato.
2.3 Todos os faturamentos de produtos, transportes e serviços serão faturados direta e      exclusivamente pela CONTRATADA e a ele serão pagos pelo CONTRATANTE ou Agente Financeiro por ele contratado.
2.4 Não integram o presente contrato, o fornecimento de elementos decorativos, presentes nos projetos apenas a título de ilustração, tais como eletrodomésticos, granitos, tapetes, cortinas, espelhos, vidros, etc., ou seja, produtos não fabricados pela empresa CONTRATADA, salvo nos casos de expressa opção do CONTRATANTE pela compra de produtos de outros fornecedores, comercializados pela CONTRATADA claramente descritos no pedido anexo.
2.5 Não farão parte do objeto deste contrato e nem será encargo da CONTRATADA a instalação ou alteração de pontos elétricos ou hidráulicos, ou qualquer outra atividade não concretamente relacionada no pedido ou adendo deste instrumento.
2.6 Caso o projeto final venha a ser modificado durante sua execução a pedido do CONTRATANTE, de forma que implique diferença de preços do valor negociado, este autoriza a CONTRATADA a emitir, a qualquer tempo, título correspondente à diferença de valores.
</t>
    </r>
    <r>
      <rPr>
        <b/>
        <sz val="11"/>
        <rFont val="Arial"/>
        <family val="2"/>
      </rPr>
      <t>CLAUSULA TERCEIRA - CONDIÇÕES DE FORNECIMENTO E GARANTIA</t>
    </r>
    <r>
      <rPr>
        <sz val="11"/>
        <rFont val="Arial"/>
        <family val="2"/>
      </rPr>
      <t xml:space="preserve">
3.1 Após a assinatura deste contrato pelo CONTRATANTE, as partes se obrigam ao cumprimento do presente contrato de forma irrevogável e irretratável, sendo vedado o cancelamento da venda por desistência ou arrependimento de qualquer das partes, nos termos do parágrafo 2º do artigo 40 do Código de Defesa do Consumidor.
3.2 Os produtos comprados serão entregues e os serviços de montagem executados pela CONTRATADA e/ou por meio de empresas especializadas, devendo os produtos serem entregues no prazo de 40 dias úteis ou produtos com vidro e/ou LACA alterando o prazo para 60 dias úteis da data da assinatura do projeto final, salvo quando especificado o Pedido na opção de VENDA FUTURA, sendo que os serviços de montagem serão iniciados em até 05 dias úteis da confirmação da entrega dos móveis no local. Caso seja constatado que algum componente tenha sofrido avaria durante o transporte ou durante a montagem, antes do término desta, o mesmo será trocado ou reparado em até 30 dias úteis a partir da constatação do fato.</t>
    </r>
  </si>
  <si>
    <t>Pág. 2/7</t>
  </si>
  <si>
    <t>Méier</t>
  </si>
  <si>
    <t>3.3 É responsabilidade do CONTRATANTE deixar o local de entrega disponível para receber os produtos e nas condições necessárias à realização da montagem: proteção do piso com papel bobina ondulado (o mesmo pode estar instalado ou apenas fornecido para nossos colaboradores instalarem); liberação dos acessos à elevadores, energia elétrica, etc.; fornecimento das plantas hidráulicas e elétricas no início da montagem. Havendo necessidade da remoção de rodapé para instalação adequada do móvel, não será responsabilidade da CONTRATADA a recolocação do mesmo. Eventuais restrições do gênero poderão implicar em atrasos e serão considerados de responsabilidade do CONTRATANTE.
3.4 No caso de apartamentos, se alguma peça, no ato da entrega, não couber no elevador ou escadas, a mesma deverá subir por empresa especializada em mudanças, ocorrendo por conta do CONTRATANTE o custo deste serviço.
3.5 Em caso de reformas, as mesmas deverão estar devidamente concluídas e os ambientes completamente limpos. A desmontagem e transporte de móveis já existentes é de responsabilidade do CONTRATANTE.
3.6 Na indisponibilidade de acesso ao local da entrega na data estabelecida no presente, o CONTRATANTE deverá providenciar depósito alternativo para entrega imediata, cabendo-lhe os ônus respectivos. Nesse caso a nova data de entrega e montagem deverá respeitar uma nova programação da logística da CONTRATADA.
3.7 O CONTRATANTE autoriza desde já seus empregados, síndico, zelador ou funcionários do imóvel a assinar Notas Fiscais de entrega dos produtos e serviços, bem como formulário comprobatório da conclusão dos serviços, ressalvando eventuais divergências de projeto ou de qualidade.
3.8 É de responsabilidade do CONTRATANTE verificar a altura dos armários e abertura de portas, antes de executar rebaixos ou sancas de gesso, instalações de luminárias, cortinas, etc.
3.9 Fica aos cuidados do CONTRATANTE a retirada, antes da entrega dos móveis, de molduras de gesso, rodapés ou qualquer outro acabamento que interfira na instalação dos produtos. Nossos técnicos estão aptos a prestar toda orientação necessária. Caso nossos técnicos tenham que retirá-los, não nos responsabilizamos por eventuais danos.
3.10 Até a data de instalação, o CONTRATANTE deverá entregar no imóvel, os eletrodomésticos com as medidas previstas no projeto, e plantas elétricas, hidráulicas, de gás, telefone e outras tubulações não aparentes, que possam ser danificadas com a instalação. A indisponibilidade dos eletros como fogão e forno implica na montagem da cozinha. Esta inobservância desobriga a CONTRATADA de qualquer responsabilidade por eventuais incompatibilidades ou danos nas instalações e nos materiais, decorrentes da instalação, sendo obrigação do CONTRATANTE, imediato reparo para continuidade dos serviços.
3.11 Por ocasião da instalação, na eventual hipótese de se verificarem incompatibilidades, ausência de componentes, necessidades ou conveniência de reformulações e ampliações de projetos, os produtos complementares necessários envolverão nova contratação análoga ao presente.
3.12 A perfeita execução do projeto requer, durante a montagem, alguns ajustes de acabamento que poderão provocar barulhos, resíduos e pó. Além disso, as embalagens dos nossos produtos após abertos geram volumes que ocupam espaços consideráveis. Após a conclusão da montagem, nossos técnicos estarão aptos a deslocá-los para locais previamente indicados pelo CONTRATANTE e farão a limpeza dos resíduos resultantes da montagem e manutenção dos ambientes.</t>
  </si>
  <si>
    <t>Pág. 3/7</t>
  </si>
  <si>
    <t>CNPJ / I.Estadual.</t>
  </si>
  <si>
    <r>
      <t xml:space="preserve">3.13 Constituem obrigações da CONTRATADA: a) atender, dentro dos prazos convencionados, às solicitações da CONTRATANTE, no que diz respeito à entrega, montagem e instalação dos bens objeto deste instrumento, bem como, prestar assistência técnica decorrente de defeitos de fabricação; b) Ocorrendo prorrogação do prazo de montagem, por parte da CONTRATADA, decorrente de caso fortuito ou força maior, esta prorrogação será efetivada mediante prévia notificação à CONTRATANTE, antes mesmo de expirado o prazo de entrega e montagem do bem móvel; c) transmitir, no prazo de 10 (dez) dias, ao fabricante das irregularidades nos produtos fornecidos, sem que isso configure violação às obrigações contratuais; d) Executar a montagem dos móveis dentro da melhor técnica e zelo, obedecendo aos parâmetros de montagem e segurança estabelecidos pelos fabricantes; e) Providenciar a substituição dos bens ou partes com defeito de fabricação ou decorrente do processo de transporte ou montagem.
3.14 Na montagem, a CONTRATADA se exime de qualquer responsabilidade referente a: 1) Existência no local da montagem de sobras de obras de construção (tijolos, areia, etc.) ou mesmo de paredes frágeis ou de má qualidade, que impeçam uma sustentação robusta dos móveis; b) Existência de desníveis das paredes, impossibilitando a instalação a contento dos móveis de forma bem assentada, bem instalada e seguros; c) Ocorrência de focos de umidade ou constante e excessiva exposição ao sol ou à luminosidade além da possível infestação por insetos que possam a vir danificar os bens objeto do presente.
3.15 Os produtos do Fabricante da CONTRATADA possuem garantia contra eventuais defeitos aparentes e de fácil constatação, oriundos de fábrica, pelo prazo de 90 (noventa) dias a contar da efetiva entrega e conclusão de montagem, e garantia extra para produtos da marca do Fabricante CONTRATADA, conforme os componentes, CERTIFICADO DE GARANTIA, fornecido no ato da conclusão da montagem.
3.16 São causas de exclusão da garantia: o desgaste natural pelo uso, descoloração pelo tempo, diferenças de tonalidade, utilização dos produtos em condições anormais de uso (tais como sobrecarga de peso, incidência de fogo, umidade, contato prolongado com a água, infiltrações de líquidos, utilização de produtos abrasivos para limpeza, maresia, ferrugem, fungos, cupins, brocas e outros, por serem oriundos de agentes externos), a montagem ou desmontagem dos produtos por pessoas não credenciadas pela CONTRATADA e defeitos oriundos pela falta de manutenção periódica.
3.17 A CONTRATADA não está autorizada a manipular tubulações elétricas, hidráulicas, telefônicas, etc., sendo responsabilidade do CONTRATANTE a contratação de profissionais especializados nestas áreas, inclusive dedetização contra insetos, visando preservar seu investimento nos móveis, uma vez que avarias decorrentes destes fatores não são cobertas pela garantia, pois caracterizam uso inadequado.
3.18 A garantia contra defeitos de montagem dos produtos será prestada pela CONTRATADA por intermédio da empresa responsável pela montagem, pelo prazo de 90 (noventa) dias a contar da efetiva assinatura do termo de conclusão do serviço de montagem. Decorrido esse prazo a CONTRATADA, prestará assistência técnica mediante a cobrança de Taxa de Visita, além das partes, peças e produtos necessários aos reparos, que também serão cobrados à parte.
3.19 A CONTRATADA não se compromete por qualquer acordo verbal feito por seus consultores de vendas ou instaladores sem que esteja declarado e constado por escrito no projeto firmado pela CONTRATADA com a CONTRATANTE.
3.20 O CONTRATANTE está ciente de que a montagem dos móveis leva de 3 a 4 dias POR AMBIENTE, podendo levar mais dias por eventuais imprevistos.
</t>
    </r>
    <r>
      <rPr>
        <b/>
        <sz val="11"/>
        <rFont val="Arial"/>
        <family val="2"/>
      </rPr>
      <t>CLAUSULA QUARTA - PAGAMENTOS</t>
    </r>
    <r>
      <rPr>
        <sz val="11"/>
        <rFont val="Arial"/>
        <family val="2"/>
      </rPr>
      <t xml:space="preserve">
4.1 Os pagamentos deverão ser feitos nas datas estipuladas no presente instrumento, independente do faturamento das mercadorias ou da finalização dos serviços, salvo quando citado por escrito em adendo a este contrato que o pagamento será mediante entrega dos móveis.</t>
    </r>
  </si>
  <si>
    <t>Pág. 4/7</t>
  </si>
  <si>
    <r>
      <t xml:space="preserve">4.2  Todos os pagamentos dos valores aqui contratados deverão ser efetuados observando rigorosamente as condições e formas de pagamento e as datas estabelecidas no pedido anexo, integrante deste contrato, pois constituem compromissos assumidos com a Fábrica. No caso de atraso ou suspensão da entrega dos produtos e serviços por ordem ou culpa do CONTRATANTE o sujeitará a eventuais reajustes que venham a incidir sobre o preço durante o período dos atrasos ou suspensão, sendo que nenhuma suspensão ou atraso será motivo para cancelamento da compra, na forma estabelecida na cláusula 3.1 acima.
4.3 Eventuais greves ou falta de matérias primas não constituirão descumprimento contratual, podendo ter atendimento com material similar disponível ou dilatação de prazos de entrega e de pagamentos em períodos idênticos.
4.4 Os pagamentos obedecerão rigorosamente as parcelas, formas, valores e datas descritas no pedido anexo, integrante deste contrato.
4.5 O atraso no pagamento do(s) título(s) sujeita o inadimplente ao pagamento da(s) parcela (s) vencida(s), acrescida(s) da correção monetária, de acordo com a inflação e pelo maior índice oficial em vigor, mais juros de 12% (doze por cento) ao ano, e de multa contratual de 2% (dois por cento), sobre o valor do montante em aberto, até o efetivo adimplemento da obrigação, o que desde já o CONTRATANTE autoriza seja acrescido na parcela imediatamente subsequente.
4.6 No caso dos débitos não serem quitados no vencimento, ficará o CONTRATANTE desde logo constituído em mora, vencendo-se antecipadamente o total da dívida, depois de verificado o inadimplemento da 2ª parcela por mais de 15 dias vencida e não paga. A CONTRATADA fica autorizada a comunicar os órgãos de proteção ao crédito, bem como ajuizar a competente ação de execução direta do presente, pelos valores que estiverem em aberto, acrescidos de todas as despesas, inclusive os encargos descritos na  cláusula 4.4, correção monetária, juros, custas processuais e honorários  de  advogado à  base  de 20% sobre o montante devido.
4.7 Fazendo o CONTRATANTE opção por financiamento, os títulos (boletos, cheques, autorização de débito em conta ou outra aceita pela CONTRATADA, referentes a esse contrato, serão entregues ao CONTRANTE, depois repassados ao Agente Financeiro no ato da aprovação do cadastro e permanecerão na posse deste até o último pagamento, razão pela qual, o CONTRATANTE isenta a CONTRATADA quanto a quaisquer ocorrências relativas aos pagamentos e títulos. As multas, juros e correção monetária, sejam elas decorrentes de inadimplemento ou não, obedecerão às regras constantes do contrato de financiamento firmado entre o CONTRATANTE e o Agente Financeiro, excluindo-se as aqui pactuadas, razão pela qual eventuais divergências deverão ser dirimidas diretamente entre o CONTRANTE e o Agente Financeiro, responsável pelos títulos e recebimentos.
4.8 Por se tratar de mercadoria sob encomenda, não será admitida a desistência da compra após o envio do pedido ao fabricante. Caso o pedido ainda não tenha sido enviado o cancelamento acarretará em multa de 20% sobre valor do contrato para cobrir despesas com levantamento de medidas, confecção de projeto, conferencia e despesas administrativas.
</t>
    </r>
    <r>
      <rPr>
        <b/>
        <sz val="11"/>
        <rFont val="Arial"/>
        <family val="2"/>
      </rPr>
      <t xml:space="preserve">CLAUSULA QUINTA - DA CESSÃO
</t>
    </r>
    <r>
      <rPr>
        <sz val="11"/>
        <rFont val="Arial"/>
        <family val="2"/>
      </rPr>
      <t>5.1 O CONTRATANTE declara-se ciente que a empresa CONTRATADA cederá o crédito decorrente da operação de venda parcelada, efetuada nesta data, descrita no item "Especificação da Operação", para Instituição Financeira, a qual ficará sub-rogada em todos os direitos da cedente inclusive o de receber o valor das parcelas nas datas avençadas, por meio de ficha de compensação, débito em conta corrente, cheques ou qualquer outro meio que tenha sido indicado pelo CONTRATANTE e aceito pela cedente. A empresa CONTRATADA autoriza a cessão parcial ou integral do crédito nas vendas a prazo. O crédito será sujeito à aprovação da financeira.</t>
    </r>
  </si>
  <si>
    <t>Pág. 5/7</t>
  </si>
  <si>
    <r>
      <rPr>
        <b/>
        <sz val="11"/>
        <rFont val="Arial"/>
        <family val="2"/>
      </rPr>
      <t>CLAUSULA SEXTA - DA RESERVA DE DOMINIO</t>
    </r>
    <r>
      <rPr>
        <sz val="11"/>
        <rFont val="Arial"/>
        <family val="2"/>
      </rPr>
      <t xml:space="preserve">
6.1 Por força de pacto de reserva de domínio, aqui expressamente instituído, e aceito pelas partes, fica reservada a CONTRATADA a propriedade do(s) objeto(s) descrito(s) no pedido e projetos anexos, até que seja liquidada a última das prestações mencionadas no referido pedido.
6.2 A posse do(s) objeto(s) descrito(s) no pedido anexo, fica sendo do CONTRATANTE, a partir desta data, mas se o mesmo faltar com o pagamento de qualquer das prestações ficará desde logo constituído em mora e obrigado, sob as penas da lei, a restituir incontinenti o(s) objeto(s) condicionalmente adquirido(s), restituição essa que se fará amigavelmente ou conforme o disposto no art. 1070 e seguintes do Código de Processo Civil.
6.3 Fica facultado a CONTRATADA, no caso de mora ou arrependimento do CONTRATANTE, optar pela rescisão deste contrato ou pela cobrança judicial dos títulos assinados.
6.4 A falência do CONTRATANTE também resolve este contrato,  podendo  a  CONTRATADA reivindicar da massa os bens condicionalmente vendidos.
6.5 Enquanto não tiver pago integralmente o preço, obriga-se o CONTRATANTE a manter em perfeito estado de conservação o(s) bem(ns) de cuja posse se integra neste ato, defendendo-o da turbação de terceiros.
6.6 É assegurado a CONTRATADA o direito de ceder ou transferir os direitos e ações que lhe cabem no presente contrato, dispensado o prévio consentimento do CONTRATANTE. 
6.7 Ocorrendo rescisão deste contrato por culpa do CONTRATANTE, efetuar-se-á a avaliação do objeto restituído para verificar a sua depreciação, sendo descontado o valor restante e o valor das prestações vencidas e não pagas, acrescido dos encargos de financiamento.
6.8 Uma vez satisfeitas as parcelas assumidas, na sua totalidade, os bens passarão a integrar o patrimônio da CONTRATANTE, deles passando a dispor de forma livre de quaisquer ônus.
</t>
    </r>
    <r>
      <rPr>
        <b/>
        <sz val="11"/>
        <rFont val="Arial"/>
        <family val="2"/>
      </rPr>
      <t>CLAUSULA SETIMA - DA ENTREGA FUTURA</t>
    </r>
    <r>
      <rPr>
        <sz val="11"/>
        <rFont val="Arial"/>
        <family val="2"/>
      </rPr>
      <t xml:space="preserve">
7.1 Entende-se por Venda Futura, aquela que não pode ser conferida de imediato, seja por motivo da obra não estar concluída ou por solicitação do CONTRATANTE.
7.2 O Prazo de Entrega deverá ser acordado na negociação e constará no pedido, parte integrante deste Instrumento. O CONTRATANTE deverá solicitar com antecedência mínima de 60 dias, a conferência de medidas para adequação do projeto as medidas finais da obra pronta.
7.3 Caso a alteração implique em restituição de valores, esta será efetivada mediante a aquisição e/ ou troca por produtos fabricados pela CONTRATADA.
7.4 Caso o projeto aprovado seja modificado, por diferença de medidas, pedido ou mediante autorização do CONTRATANTE, durante sua execução, poderá a CONTRATADA emitir, a qualquer tempo, o título correspondente a diferença de preço, ficando, para tanto, desde já autorizada.
</t>
    </r>
    <r>
      <rPr>
        <b/>
        <sz val="11"/>
        <rFont val="Arial"/>
        <family val="2"/>
      </rPr>
      <t xml:space="preserve">CLAUSULA OITAVA - DO PRODUTO DE MOSTRUÁRIO	</t>
    </r>
    <r>
      <rPr>
        <sz val="11"/>
        <rFont val="Arial"/>
        <family val="2"/>
      </rPr>
      <t xml:space="preserve">
8.1 No caso de aquisição de produtos do mostruário da loja, o CONTRATANTE fica ciente que o mobiliário será entregue nas condições apresentadas no show room.
8.2 O mobiliário poderá conter riscos, batidas e outras avarias, pois trata-se de produto em demonstração na loja.
</t>
    </r>
    <r>
      <rPr>
        <b/>
        <sz val="11"/>
        <rFont val="Arial"/>
        <family val="2"/>
      </rPr>
      <t>CLAUSULA NONA - ELEIÇÃO DO FORO</t>
    </r>
    <r>
      <rPr>
        <sz val="11"/>
        <rFont val="Arial"/>
        <family val="2"/>
      </rPr>
      <t xml:space="preserve">
9.1 Na hipótese de descumprimento de qualquer das cláusulas deste, a eventual tolerância ou concessão das partes não implicará em alteração ou novação contratual e nem impedirá de exercer, a qualquer momento, todos os direitos que lhes são assegurados.
9.2 A CONTRATADA oferece assistência técnica permanente aos seus produtos. Os custos de reparos, quando não cobertos pela garantia de fábrica, serão cobrados da CONTRATANTE. </t>
    </r>
  </si>
  <si>
    <t>Pág. 6/7</t>
  </si>
  <si>
    <r>
      <rPr>
        <b/>
        <sz val="11"/>
        <rFont val="Arial"/>
        <family val="2"/>
      </rPr>
      <t>CLÁUSULA DECIMA - ELEIÇÃO DE FORO</t>
    </r>
    <r>
      <rPr>
        <sz val="11"/>
        <rFont val="Arial"/>
        <family val="2"/>
      </rPr>
      <t xml:space="preserve">
10.1 As partes de comum acordo elegem o Foro da Comarca da CONTRATADA para dirimir eventuais dúvidas e ações judiciais envolvendo o ora pactuado e, por estarem assim convencionadas, firmam o presente em duas vias e na presença de duas testemunhas.</t>
    </r>
  </si>
  <si>
    <t>CONTRATANTE</t>
  </si>
  <si>
    <t>TESTEMUNHA 1</t>
  </si>
  <si>
    <t>TESTEMUNHA 2</t>
  </si>
  <si>
    <t>NOME: ___________________________________</t>
  </si>
  <si>
    <t>CPF: _________________________</t>
  </si>
  <si>
    <t>Pág. 7/7</t>
  </si>
  <si>
    <t xml:space="preserve"> Garantia estendida total</t>
  </si>
  <si>
    <t>Certificado de Garantia</t>
  </si>
  <si>
    <t>Dados da Loja</t>
  </si>
  <si>
    <t>Dados do Consumidor</t>
  </si>
  <si>
    <t xml:space="preserve">Data  do Pedido : </t>
  </si>
  <si>
    <t xml:space="preserve">CNPJ :  </t>
  </si>
  <si>
    <t xml:space="preserve">Inscrição Estadual </t>
  </si>
  <si>
    <t xml:space="preserve"> 1 ano após a conclusão da montagem, conforme acertado no ato da compra pela contratada.</t>
  </si>
  <si>
    <t>A garantia estendida deste certificado obedece as normas de manutenção em anexo.</t>
  </si>
  <si>
    <t>5 Certificado de Garantia</t>
  </si>
  <si>
    <t>ADENDO AO CONTRATADA</t>
  </si>
  <si>
    <t>CUIDADOS DA MANUTENÇÃO NA GARANTIA ESTENDIDA</t>
  </si>
  <si>
    <r>
      <t xml:space="preserve">Para  ampliar  ainda  mais  a  vida  útil  dos  nossos  produtos  e  poder  usufruir  com segurança  as garantias vinculadas  a  sua compra,  siga  atentamente  as técnicas de limpeza e conservação contidas neste  manual. Além de serem simples, elas ajudarão a deixar os produtos adquiridos sempre novos.
</t>
    </r>
    <r>
      <rPr>
        <b/>
        <sz val="10"/>
        <rFont val="Arial"/>
        <family val="2"/>
      </rPr>
      <t>1. Limpeza e conservação das portas e painéis:</t>
    </r>
    <r>
      <rPr>
        <sz val="10"/>
        <rFont val="Arial"/>
        <family val="2"/>
      </rPr>
      <t xml:space="preserve">
I. Em laminado  utilize  pano levemente  umedecido  com  água  e  sabão,  e e m seguida,  pano seco.   Para remover  sujeiras  difíceis,  use saponáceo líquido.  Para  tirar  manchas de gordura, use um pano levemente umedecido em solução de sabão em pó diluído em água.  Retire os resíduos de sabão com  pano  levemente umedecido, depois passe pano limpo e seco para eliminar toda a umidade. 
II. Em laqueado acetinado ou microtextura: Pano levemente umedecido com água, seguido de  pano  seco e limpo. Não utilizar produtos químicos ou abrasivos. A superfície não deve ser encerada. 
III. Em laqueado poliuretano brilhante: Pano levemente umedecido com água, seguido de pano seco e limpo. Não utilizar produtos químicos ou abrasivos. A superfície brilhante do móvel pode receber  periodicamente lustração com cera líquida  sem  silicone,  utilizando-se  algodão  seguido  de flanela macia  e  limpa,  para prolongar as características originais.
IV. Em laqueado poliéster Limpar com pano 100% algodão levemente umedecido com água e sabão neutro, seguido de pano seco 100% algodão. Pode receber periodicamente lustração com cera líquida sem  silicone Perfect-it 3M, com pano 100% algodão.
V. Com lâminas de madeira Limpar com pano levemente umedecido com água e sabão neutro, seguido  de pano seco. Não utilizar produtos químicos ou abrasivos.
VI. Em PVC utilize pano levemente umedecido com água e sabão neutro e, em seguida,  pano  seco.  Retire os resíduos de sabão com pano levemente umedecido, depois passe pano limpo e seco para eliminar toda a umidade.
VII. Limpeza das portas de vidro: A limpeza deverá ser realizada com pano úmido e detergente neutro. Não utilizar produtos químicos e materiais abrasivos na superfície. 
VIII. Tampos e painéis em Madeira Natural: São fabricados em madeira maciça, o que confere exclusividade a cada peça, pois esse tipo de madeira, com acabamento incolor, evidência todas as variações peculiares de sua árvore de origem. Veios, cerne, coloração e imperfeições naturais ficam  visíveis  e  não  comprometem,  de maneira nenhuma, a beleza da madeira. Para garantir vida longa e beleza às  peças , evite sua exposição prolongada à água ou outras substâncias líquidas. O  contato com a  luz  forte  poderá escurecer  a  madeira com o passar do tempo e, inclusive, imprimir a marca dos objetos que permanecerem por  longo período em sua superfície. Para evitar este  inconveniente, sugerimos  movimentar os  objetos   com   intervalos  de tempo  regulares  e     evitar  os  raios  diretos   do  sol.   Não  exponha  a  madeira  a  variações  bruscas   de temperatura. Na limpeza, proceda de maneira a não remover  o  acabamento  impermeabilizante   protetor das peças. Lave-as com detergente neutro e utilize esponja  macia.  Evite  produtos  químicos,  solventes   e abrasivos. Mantenha a superfície  dos  tampos  e  painéis sempre seca. Evite atritos ou choques  deles  com objetos pontiagudos e ásperos, que possam agredir  e  danificar  a  madeira.  Não   apoie  objetos   quentes, como  panelas,  diretamente  sobre   os  tampos.  Utilize  um   descanso  isolante  especial  para   este   fim. 
</t>
    </r>
    <r>
      <rPr>
        <b/>
        <sz val="10"/>
        <rFont val="Arial"/>
        <family val="2"/>
      </rPr>
      <t xml:space="preserve">
2. Limpeza e conservação dos interiores dos armários e nichos:</t>
    </r>
    <r>
      <rPr>
        <sz val="10"/>
        <rFont val="Arial"/>
        <family val="2"/>
      </rPr>
      <t xml:space="preserve">
Limpar com pano levemente umedecido com água  e  sabão  neutro,  seguido  de  pano  seco.  Não  utilizar produtos químicos ou abrasivos. 
</t>
    </r>
    <r>
      <rPr>
        <b/>
        <sz val="10"/>
        <rFont val="Arial"/>
        <family val="2"/>
      </rPr>
      <t>MANUAL DE CONSERVAÇÃO DO PRODUTO E GARANTIA</t>
    </r>
    <r>
      <rPr>
        <sz val="10"/>
        <rFont val="Arial"/>
        <family val="2"/>
      </rPr>
      <t xml:space="preserve"> -  Vinculado ao Contrato  de  compra,  normas   para limpeza em geral a secagem é extremamente importante para evitar manchas na superfície.  Então nunca use pano encharcado, nem jogue ou borrife água diretamente nas portas e no  interior  dos  armários.  Por mais  vedados que  sejam  os  cantos  e  junções,  água  acumulada pode  causar  infiltrações e  danificar  a estrutura dos móveis. Nunca use álcool, pois ele altera a cor e a textura do material.</t>
    </r>
  </si>
  <si>
    <t>6 Manutenção Garantia</t>
  </si>
  <si>
    <t>Pág. 1/2</t>
  </si>
  <si>
    <r>
      <rPr>
        <b/>
        <sz val="10"/>
        <rFont val="Arial"/>
        <family val="2"/>
      </rPr>
      <t>3. Normas para limpeza em geral:</t>
    </r>
    <r>
      <rPr>
        <sz val="10"/>
        <rFont val="Arial"/>
        <family val="2"/>
      </rPr>
      <t xml:space="preserve">
A secagem é extremamente importante para  evitar manchas  na  superfície.  Então  nunca   use  pano encharcado, nem jogue ou borrife água  diretamente nas portas e no interior dos armários.   Por   mais vedados que sejam os cantos e junções, água  acumulada pode causar infiltrações  e  danificar  a   estrutura dos móveis. Nunca use álcool, pois ele altera a cor e a textura do material.
</t>
    </r>
    <r>
      <rPr>
        <b/>
        <sz val="10"/>
        <rFont val="Arial"/>
        <family val="2"/>
      </rPr>
      <t xml:space="preserve">4. Limpeza  e  conservação dos  puxadores, ferragens  e  dobradiças. </t>
    </r>
    <r>
      <rPr>
        <sz val="10"/>
        <rFont val="Arial"/>
        <family val="2"/>
      </rPr>
      <t xml:space="preserve">
Não  usar  vaselina  em  puxadores, ferragens e dobradiças. Para limpeza das ferragens e dobradiças, utilize pano limpo e seco ou pincel seco. Para  maior  durabilidade  dos  puxadores  utilize  pano   macio,   limpo  e seco. Nunca use lubrificantes nas corrediças de gavetas e prateleiras. Nunca use álcool, pois este retira uma importante    camada  protetora  dos  puxadores.   Nunca  use   ácidos,  produtos   químicos,   removedores, alvejantes e água sanitária em dobradiças. Nunca use óleos tipo desengripante (tipo WD-40) e lubrificantes (graxas, etc.). Para limpeza das dobradiças, recomendamos pano ou pincel seco. 
</t>
    </r>
    <r>
      <rPr>
        <b/>
        <sz val="10"/>
        <rFont val="Arial"/>
        <family val="2"/>
      </rPr>
      <t>5. Cuidados especiais :</t>
    </r>
    <r>
      <rPr>
        <sz val="10"/>
        <rFont val="Arial"/>
        <family val="2"/>
      </rPr>
      <t xml:space="preserve">
Os armários  foram projetados para suportar,  em condições  normais  de  utilização,  choques  e  variações térmicas, e passaram por rigorosos  testes  de  resistência,  tanto  da  estrutura,  quanto  do   revestimento. Porém, alguns cuidados são indispensáveis. 
I. Pragas de madeira (cupim, broca, etc.) são os maiores inimigos dos armários, por isso descupinise e  trate com preventivo na residência é o ideal. Numa eventual infestação, entre em contato  imediatamente  com uma empresa especializada na solução desse tipo de problema.
II. Sal e produtos de limpeza devem ser guardados nos armários somente dentro de embalagens  vedadas. Eles são corrosivos e danificam peças metálicas, como dobradiças e aramados. 
III. Em ambientes com excesso de umidade ou maresia, redobre os cuidados com a limpeza e a manutenção das ferragens.
IV. As dobradiças  dos armários têm um ângulo máximo de  abertura.  Forçar   esses  limites   danifica   os sistemas de articulação e compromete o seu funcionamento. 
V. As gavetas foram projetadas para guardar alimentos e utensílios, e não suportam o peso de pessoas, mesmo de crianças. Não permita que elas sejam  usadas  como  escada.  O excesso de peso  pode  provocar acidentes, além de danificar os trilhos e a estrutura interna dos gaveteiros. As portas dos armários também não devem receber pesos demasiados, nem ser utilizadas como apoio. 
VI. Em casos de armários  que  tenham painéis até o chão, não  jogue  água  ou  use  pano  encharcado  na limpeza do piso.
VII. Verifique periodicamente os sifões e instalações para detectar eventuais vazamentos.
VIII. A umidade provoca mofo, manchas e mau cheiro nos armários.  Para  evitar isso, não  guarde objetos úmidos ou molhados. 
IX. Sempre use tábua para cortar alimentos sobre bancadas.
X. Não utilize os tampos laminados para  apoiar  diretamente  panelas  recém-saídas  do  fogão, ferros  de passar  roupa, cigarros  ou  fósforos  acesos.  Temperaturas  muito  altas  podem  queimar  o  revestimento, deixando manchas irreversíveis, que não estão cobertas pela garantia.
XI. Não execute sobre os  balcões e  prateleiras  trabalhos  que  envolvam o   uso  de  martelos,  furadeiras, instrumentos de solda, ácidos, etc. Essas ferramentas ou produtos podem danificar o laminado.
</t>
    </r>
    <r>
      <rPr>
        <b/>
        <sz val="10"/>
        <rFont val="Arial"/>
        <family val="2"/>
      </rPr>
      <t>6. Revisão dos Produtos :</t>
    </r>
    <r>
      <rPr>
        <sz val="10"/>
        <rFont val="Arial"/>
        <family val="2"/>
      </rPr>
      <t xml:space="preserve">
Oferece a todos os seus clientes uma revisão gratuita dos produtos ao final de 90  dias corridos a partir  da data de montagem. Ligue para a contratada e agende de sua revisão. 
O contratante declara ter  lido todo o  conteúdo deste documento, entendido  e   concordado  quanto   das responsabilidades nele informadas, para ter direito a garantia.</t>
    </r>
  </si>
  <si>
    <t>Pág. 2/2</t>
  </si>
  <si>
    <t>Mês :</t>
  </si>
  <si>
    <t>Relatório Geral do Mês do Vendedor</t>
  </si>
  <si>
    <t>Data</t>
  </si>
  <si>
    <t>Descrição</t>
  </si>
  <si>
    <t>Pedido</t>
  </si>
  <si>
    <t>Orçamento</t>
  </si>
  <si>
    <t>Vendido</t>
  </si>
  <si>
    <t>A Vender</t>
  </si>
  <si>
    <t>Katia da Silva</t>
  </si>
  <si>
    <t>BC0225-01</t>
  </si>
  <si>
    <t>João Silveira</t>
  </si>
  <si>
    <t>Sub-Total =</t>
  </si>
  <si>
    <t>Total Vendido no Mês =</t>
  </si>
  <si>
    <t>7 Orçamentos do Mês</t>
  </si>
  <si>
    <t>Resumo Total da Venda</t>
  </si>
  <si>
    <t>Vendedor(a)</t>
  </si>
  <si>
    <t>Pedido Nº</t>
  </si>
  <si>
    <t>Data Venda</t>
  </si>
  <si>
    <t>Produto</t>
  </si>
  <si>
    <t>Previsão Entrega</t>
  </si>
  <si>
    <t>Loja</t>
  </si>
  <si>
    <t>Data Montagem</t>
  </si>
  <si>
    <t xml:space="preserve">  /        /</t>
  </si>
  <si>
    <t>Conclusão</t>
  </si>
  <si>
    <t xml:space="preserve">/       / </t>
  </si>
  <si>
    <t>Resumo da Venda</t>
  </si>
  <si>
    <t>Discriminação</t>
  </si>
  <si>
    <t>Crédito</t>
  </si>
  <si>
    <t>Débito</t>
  </si>
  <si>
    <t>Saldo</t>
  </si>
  <si>
    <t>Venda Tabela</t>
  </si>
  <si>
    <t>Valor Bruto</t>
  </si>
  <si>
    <t>Promoção</t>
  </si>
  <si>
    <t>Valor Desconto à Vista</t>
  </si>
  <si>
    <t>Mdf ou Mdp</t>
  </si>
  <si>
    <t>Valor Venda à Vista</t>
  </si>
  <si>
    <t>Líquido</t>
  </si>
  <si>
    <t>Valor Venda à Vista - RT</t>
  </si>
  <si>
    <t>Venda com Juros</t>
  </si>
  <si>
    <t>Valor Venda com Financiado</t>
  </si>
  <si>
    <t>Valor Juros Financeira</t>
  </si>
  <si>
    <t>Resumo da Venda Real</t>
  </si>
  <si>
    <t>Indicação</t>
  </si>
  <si>
    <t>Total Comissão</t>
  </si>
  <si>
    <t>Despacho</t>
  </si>
  <si>
    <t>Transporte Rio Extra</t>
  </si>
  <si>
    <t>Transportadora</t>
  </si>
  <si>
    <t>Montador</t>
  </si>
  <si>
    <t>Total fabricas =</t>
  </si>
  <si>
    <t>Total compra sistema =</t>
  </si>
  <si>
    <t>Total  Geral = com (Diversos+Prêmio)</t>
  </si>
  <si>
    <t>8 Resumo Total da Venda</t>
  </si>
  <si>
    <t>Projeto :</t>
  </si>
  <si>
    <t>Cliente :</t>
  </si>
  <si>
    <t xml:space="preserve">Valor à Vista - RT </t>
  </si>
  <si>
    <t>%</t>
  </si>
  <si>
    <t xml:space="preserve">Adiantamento </t>
  </si>
  <si>
    <t>Total =</t>
  </si>
  <si>
    <t>Saldo a Receber =</t>
  </si>
  <si>
    <t>Recebi a importância acima, referente ao percentual sobre o valor da venda à vista.</t>
  </si>
  <si>
    <t xml:space="preserve">Ficando sobre minha responsabilidade o projeto dos móveis planejados e também o projeto </t>
  </si>
  <si>
    <t xml:space="preserve">     de execução fornecido e assinado pelo cliente.</t>
  </si>
  <si>
    <t xml:space="preserve">                     Desde  já dou  plena  e  raza  quitação aos recebimentos  dos  serviços  prestados, </t>
  </si>
  <si>
    <t xml:space="preserve">     ficando sobre  pena de ressarcimento de qualquer prejuízo do serviço executado.</t>
  </si>
  <si>
    <t>________________________________________________________________</t>
  </si>
  <si>
    <t>9 Pagamento Vendedor</t>
  </si>
  <si>
    <t>Nome Montador :</t>
  </si>
  <si>
    <t>Observação</t>
  </si>
  <si>
    <t>OBSERVAÇÃO</t>
  </si>
  <si>
    <t xml:space="preserve">Data </t>
  </si>
  <si>
    <t xml:space="preserve">    /             / 20</t>
  </si>
  <si>
    <t>Montador :</t>
  </si>
  <si>
    <t xml:space="preserve">Contratante : </t>
  </si>
  <si>
    <t>10 Ficha Montagem</t>
  </si>
  <si>
    <t>Cliente</t>
  </si>
  <si>
    <t>Percent.</t>
  </si>
  <si>
    <t>Adiantamento</t>
  </si>
  <si>
    <t>Saldo a Receber  =</t>
  </si>
  <si>
    <t>Recebi a importância acima, referente ao percentual sobre o valor da compra de fabrica.</t>
  </si>
  <si>
    <t xml:space="preserve">Ficando sobre minha responabilidade a montagem dos móveis planejados, conforme projeto </t>
  </si>
  <si>
    <t xml:space="preserve">     fornecido pela loja.</t>
  </si>
  <si>
    <t>11 Pagamento Montador</t>
  </si>
  <si>
    <t>Loja :</t>
  </si>
  <si>
    <t xml:space="preserve">Prazo </t>
  </si>
  <si>
    <t>Atenção</t>
  </si>
  <si>
    <t>Observações</t>
  </si>
  <si>
    <t>Pedido Loja</t>
  </si>
  <si>
    <t>Ped. Fab./Rep</t>
  </si>
  <si>
    <t>ambiente</t>
  </si>
  <si>
    <t>valor</t>
  </si>
  <si>
    <t>Venda</t>
  </si>
  <si>
    <t>Entrega</t>
  </si>
  <si>
    <t>Data Pagto</t>
  </si>
  <si>
    <t>da Venda</t>
  </si>
  <si>
    <t>MA0425-01</t>
  </si>
  <si>
    <t>35581/62650</t>
  </si>
  <si>
    <t>Leni da Silva</t>
  </si>
  <si>
    <t>coz./bancada</t>
  </si>
  <si>
    <t>Pedido Feito</t>
  </si>
  <si>
    <t>MA0425-02</t>
  </si>
  <si>
    <t>35582/62651</t>
  </si>
  <si>
    <t>Ronaldo de Souza</t>
  </si>
  <si>
    <t>coz./Qto</t>
  </si>
  <si>
    <t>Venda Futura</t>
  </si>
  <si>
    <t>12 Controle Pedidos</t>
  </si>
  <si>
    <t>DADOS PARA DEPÓSITO NAS FÁBRICAS</t>
  </si>
  <si>
    <t>Dados da Fábrica :   Jaeli Móveis Ltda CNPJ 03.949.721/0001-30</t>
  </si>
  <si>
    <t>Condição de Mostruário - Negociar com o Representante autorizado de diretor comercial</t>
  </si>
  <si>
    <t>Contato : Mariana - (55) 98449-0571</t>
  </si>
  <si>
    <t>pedidos@jaelimoveis.com.br</t>
  </si>
  <si>
    <t>Banco do Brasil  -  Pix 03.949.721/0001-30</t>
  </si>
  <si>
    <t>agência 1367-6</t>
  </si>
  <si>
    <t>c/c 8451-4</t>
  </si>
  <si>
    <t>Banco Caixa  - OP 003</t>
  </si>
  <si>
    <t>agência 0521</t>
  </si>
  <si>
    <t>c/c 630-8</t>
  </si>
  <si>
    <t>Banco Santander</t>
  </si>
  <si>
    <t>agência 1108</t>
  </si>
  <si>
    <t>c/c 13000729-2</t>
  </si>
  <si>
    <t>Banco Banrisul</t>
  </si>
  <si>
    <t>agência 0134</t>
  </si>
  <si>
    <t>c/c 0601450106</t>
  </si>
  <si>
    <t>Banco Sicred -  Pix marciele@jaelimoveis.com.br</t>
  </si>
  <si>
    <t>agência 0306</t>
  </si>
  <si>
    <t>c/c 40942-1</t>
  </si>
  <si>
    <t>Banco Sicoob credial -  Pix 55984490571</t>
  </si>
  <si>
    <t>agência 3032</t>
  </si>
  <si>
    <t xml:space="preserve">c/c </t>
  </si>
  <si>
    <t>Dados da Fábrica Euronobre vidros Ltda - CNPJ 08.668.333/0001-03</t>
  </si>
  <si>
    <t>Condição de Mostruário - Não existe desconto de mostruário</t>
  </si>
  <si>
    <t>Contato : Taina (54) 9619-8669</t>
  </si>
  <si>
    <t>euronobre@euronobre.com.br</t>
  </si>
  <si>
    <t>Banco Bradesco - Pix CNPJ</t>
  </si>
  <si>
    <t>agência 3510-6</t>
  </si>
  <si>
    <t>c/c 213448-9</t>
  </si>
  <si>
    <t>Dados da Fábrica Colortec Componentes Ltda CNPJ 05.270.579/0001-26</t>
  </si>
  <si>
    <t>Contato : Marilia (54) 34517375</t>
  </si>
  <si>
    <t>atendimento@colortecrs.com.br</t>
  </si>
  <si>
    <t xml:space="preserve">Banco do Brasil  </t>
  </si>
  <si>
    <t>agência 0181-3</t>
  </si>
  <si>
    <t>c/c 81320-6</t>
  </si>
  <si>
    <t>Favorecido: Juliana Burmann Lopes - CPF  741.919.000-30</t>
  </si>
  <si>
    <t>Controle de Compra e Entrega de Pedidos</t>
  </si>
  <si>
    <t>DADOS DA LOJA</t>
  </si>
  <si>
    <t>CNPJ/INSCRIÇÃO ESTADUAL</t>
  </si>
  <si>
    <t>Responsável/CPF/Fone</t>
  </si>
  <si>
    <t>Modelo de E-mail para Fábrica liberar os pedidos</t>
  </si>
  <si>
    <t>E-mail da Loja :</t>
  </si>
  <si>
    <t>E-mail da Fábrica :</t>
  </si>
  <si>
    <t>email fabrica</t>
  </si>
  <si>
    <t>E-mail da Representação :</t>
  </si>
  <si>
    <t>shopmoveis@hotmail.com.br</t>
  </si>
  <si>
    <t>Prezados, boa tarde.</t>
  </si>
  <si>
    <t>Segue abaixo relação de pedidos pagos:</t>
  </si>
  <si>
    <t>Fábrica :</t>
  </si>
  <si>
    <t>Obs.:</t>
  </si>
  <si>
    <t>Data do Ped</t>
  </si>
  <si>
    <t>N° Ped. Fábrica</t>
  </si>
  <si>
    <t>Nome do Cliente</t>
  </si>
  <si>
    <t>AMBIENTE</t>
  </si>
  <si>
    <t>Valor do Pedido</t>
  </si>
  <si>
    <t>João Ricardo</t>
  </si>
  <si>
    <t>Cozinha</t>
  </si>
  <si>
    <t>Qto Dormitorio Casal</t>
  </si>
  <si>
    <t>Ana Maria Gomes</t>
  </si>
  <si>
    <t>Qto Dormitorio Solt.</t>
  </si>
  <si>
    <t>Home</t>
  </si>
  <si>
    <t>13 E-mail Compra Fabrica</t>
  </si>
  <si>
    <t>Crédito Santander =</t>
  </si>
  <si>
    <t>Total Depósito =</t>
  </si>
  <si>
    <t>Segue em anexo comprovante de depósito.</t>
  </si>
  <si>
    <t>Peço por gentileza que confirmem o pagamento e recebimento destes pedidos e pagamentos,</t>
  </si>
  <si>
    <t>favor liberar no financeiro para produção.</t>
  </si>
  <si>
    <t>Atenciosamente,</t>
  </si>
  <si>
    <t xml:space="preserve">Modelo de E-mail para transportadora liberar entrega dos pedidos </t>
  </si>
  <si>
    <t>Valor Total Frete =</t>
  </si>
  <si>
    <t>E-mail da Transportadora :</t>
  </si>
  <si>
    <t>obs.:</t>
  </si>
  <si>
    <t>Nota Fiscal</t>
  </si>
  <si>
    <t>N° Pedido Fábrica</t>
  </si>
  <si>
    <t>Valor Nota Fiscal</t>
  </si>
  <si>
    <t>Total N.F. Entrega=</t>
  </si>
  <si>
    <t>Endereço Entrega ABAIXO:</t>
  </si>
  <si>
    <t>Data Entrega =</t>
  </si>
  <si>
    <t>Contato Cliente</t>
  </si>
  <si>
    <t>Obs.: Favor não deixar as  N.F. no consumidor</t>
  </si>
  <si>
    <t>Valor do Frete a Pagar</t>
  </si>
  <si>
    <t>Altere Frete Padrão da Loja=</t>
  </si>
  <si>
    <t>DADOS DO CLIENTE PARA ENTREGA</t>
  </si>
  <si>
    <t>Marcado com:</t>
  </si>
  <si>
    <t>Contato</t>
  </si>
  <si>
    <t>Recebimento Sr. João da Silva</t>
  </si>
  <si>
    <t xml:space="preserve">Obs.: </t>
  </si>
  <si>
    <t>14 E-mail Transportadora</t>
  </si>
  <si>
    <t>Peço por gentileza que confirmem o recebimento desta solicitação,</t>
  </si>
  <si>
    <t>favor confirmar data entrega.</t>
  </si>
  <si>
    <t xml:space="preserve"> Resumo Total da Fluxo Caixa</t>
  </si>
  <si>
    <t>Projetos Concretizados -  Vendidos</t>
  </si>
  <si>
    <t>Orçamentos Não Concretizada  - A Vender</t>
  </si>
  <si>
    <t>Projetista</t>
  </si>
  <si>
    <t>Receita</t>
  </si>
  <si>
    <t>Desp.+ fabrica</t>
  </si>
  <si>
    <t xml:space="preserve"> Extra</t>
  </si>
  <si>
    <t>Despesas</t>
  </si>
  <si>
    <t>Saldo Extra</t>
  </si>
  <si>
    <t>Carlos</t>
  </si>
  <si>
    <t>Alice de Souza</t>
  </si>
  <si>
    <t>Paula</t>
  </si>
  <si>
    <t>Pedro da Silva</t>
  </si>
  <si>
    <t>Ruy dos Santos</t>
  </si>
  <si>
    <t>Colocar Despesas Fixas</t>
  </si>
  <si>
    <t>Aluguel</t>
  </si>
  <si>
    <t>Luz</t>
  </si>
  <si>
    <t>Folha func. Fixos</t>
  </si>
  <si>
    <t>Encargos Funcionários</t>
  </si>
  <si>
    <t>Contador</t>
  </si>
  <si>
    <t>Propaganda</t>
  </si>
  <si>
    <t>Retirada</t>
  </si>
  <si>
    <t>A) Resumo Total Vendidos =</t>
  </si>
  <si>
    <t>B) À Vender (orçados a Vender)=</t>
  </si>
  <si>
    <t>À Vender =</t>
  </si>
  <si>
    <t>LucroTotal do Mês (A+B) =</t>
  </si>
  <si>
    <t>Previsão Do Mês de Vendas =</t>
  </si>
  <si>
    <t>1) Esta Planilha simula o ideal de venda e os descontos utilizados.</t>
  </si>
  <si>
    <t>Saldo do Mês de Despesas fixas =</t>
  </si>
  <si>
    <t>2) Favor simular o seu ponto de equilibrio.</t>
  </si>
  <si>
    <t>15 Caixa do Mês</t>
  </si>
  <si>
    <t xml:space="preserve"> Resumo  Geral </t>
  </si>
  <si>
    <t>Ano   : 2025</t>
  </si>
  <si>
    <t>Saldo Mensal</t>
  </si>
  <si>
    <t>Fechamento do Mês</t>
  </si>
  <si>
    <t>Obs.</t>
  </si>
  <si>
    <t>Total Ano =</t>
  </si>
  <si>
    <t>16 Caixa do Ano</t>
  </si>
  <si>
    <t>Razão Social</t>
  </si>
  <si>
    <t>Nome Fantasia</t>
  </si>
  <si>
    <t>Marca da Fábrica</t>
  </si>
  <si>
    <t>Endereço Completo</t>
  </si>
  <si>
    <t>Bairro</t>
  </si>
  <si>
    <t>Inscrição Estadual</t>
  </si>
  <si>
    <t>Obs.:  1) Primeiro Preencha os dados da loja principalmente o CNPJ e Inscrição Estadual  no 1 controle de loja, depois clique no campo CNPJ e Inscrição Estadual quando aparecer a mão como icone;</t>
  </si>
  <si>
    <t>Responsável da Loja</t>
  </si>
  <si>
    <t>Transportadora sede RS</t>
  </si>
  <si>
    <t>1) Para visualizar o Cartão de visita Digital do Vendedor projetista, click no link ao lado :</t>
  </si>
  <si>
    <t>2) Para emissão de nota fiscal cliclar no link ao lado, tendo em mãos sua senha gerada pelo contador :</t>
  </si>
  <si>
    <t>Emissão Nota Fiscal de Venda</t>
  </si>
  <si>
    <t>3) Clique na logo da Serasa pra consultar a situação do pesquisado, lembrando que paga por consulta.</t>
  </si>
  <si>
    <t>Faça sua consulta no Serasa..</t>
  </si>
  <si>
    <t>4) Banco Digital que Gera Boletas de cobranças para o seu cliente.</t>
  </si>
  <si>
    <t>Gere Boleta de Cobranca</t>
  </si>
  <si>
    <t>5)  Sistema ByDesigner Desenvolvido por Neri (21) 97014-2420</t>
  </si>
  <si>
    <t>Site:    SisBrasil.rio.br</t>
  </si>
  <si>
    <t>Atenção para o Neri : bydesigner/gestor &gt; configuração &gt; Cadastro de logins --- SisBrasil - Shopmoveis Neri ddmmbia....</t>
  </si>
  <si>
    <t>Contato Financeiras:</t>
  </si>
  <si>
    <t>Santander : Fernando</t>
  </si>
  <si>
    <t>21 99541-3266</t>
  </si>
  <si>
    <t>Cartão:</t>
  </si>
  <si>
    <t>Evo : Danilo</t>
  </si>
  <si>
    <t>15 99136-2180</t>
  </si>
  <si>
    <t>Blu : Roger</t>
  </si>
  <si>
    <t>21 99943-0729</t>
  </si>
  <si>
    <t>O texto abaixo poderá ser personalizado pela loja, exceto o 6) Certificado Garantia.</t>
  </si>
  <si>
    <t xml:space="preserve">     R E A L I Z A M O S   O   S E U   S O N H O    H O J E !  </t>
  </si>
  <si>
    <t>Armários Planejados :  Home Theater e Oficce, Quartos, Cozinhas, Banheiros, Aréa dee Serviços e Diversos</t>
  </si>
  <si>
    <t>1) Empresa com Solidez de Mercado</t>
  </si>
  <si>
    <t>4) Profissionais de Designer</t>
  </si>
  <si>
    <t xml:space="preserve">7) Orçamentos Grátis   </t>
  </si>
  <si>
    <t xml:space="preserve">2) Montadores Próprios Especializados </t>
  </si>
  <si>
    <t xml:space="preserve">5) Projetos Personalizados </t>
  </si>
  <si>
    <t>8) Transporte Especializado monitorado na entrega</t>
  </si>
  <si>
    <t>3) Contato direto com a Administração</t>
  </si>
  <si>
    <t>6)  Certificado Garantia</t>
  </si>
  <si>
    <t>9) Manutenção da loja em seus móveis</t>
  </si>
  <si>
    <t>17 Resumo do Sistema</t>
  </si>
  <si>
    <t>31/06/2025</t>
  </si>
  <si>
    <t>dmbia...</t>
  </si>
  <si>
    <t>Configuração</t>
  </si>
  <si>
    <t>cadastro de logins</t>
  </si>
  <si>
    <t>https://solucoes.receita.fazenda.gov.br/Servicos/cnpjreva/Cnpjreva_Solicitacao.asp?cnpj=</t>
  </si>
  <si>
    <t>ByDesigner.com.br</t>
  </si>
  <si>
    <t>Valores Financiados,total da tabela 4 orçamento</t>
  </si>
  <si>
    <t>Validade do Sistema =</t>
  </si>
  <si>
    <t xml:space="preserve">Qtd </t>
  </si>
  <si>
    <t>Prazo de Entrega :</t>
  </si>
  <si>
    <t>Garantia da loja :</t>
  </si>
  <si>
    <t>E-mail:</t>
  </si>
  <si>
    <t>Nome da Fantasia da Fabrica =</t>
  </si>
  <si>
    <t>Sistema - SisBrasil.com.br</t>
  </si>
  <si>
    <t>Cadastro Master</t>
  </si>
  <si>
    <t>Cadastro Lojista</t>
  </si>
  <si>
    <t>Região de Sua Empresa:</t>
  </si>
  <si>
    <t>shopmoveis</t>
  </si>
  <si>
    <t>nome fantasia</t>
  </si>
  <si>
    <t>Login do Usuário:</t>
  </si>
  <si>
    <t>neri</t>
  </si>
  <si>
    <t>nome diretor</t>
  </si>
  <si>
    <t>Senha de Acesso:</t>
  </si>
  <si>
    <t>1205bianca</t>
  </si>
  <si>
    <t>Valor da Venda =</t>
  </si>
  <si>
    <t>Nome Vendedor</t>
  </si>
  <si>
    <t>cod</t>
  </si>
  <si>
    <t>Nome Completo</t>
  </si>
  <si>
    <t>Mercadorias</t>
  </si>
  <si>
    <t>CPF do Vendedor</t>
  </si>
  <si>
    <t>Desc, vendas</t>
  </si>
  <si>
    <t>Desc. Adm</t>
  </si>
  <si>
    <t>Valor Bruto (fatores Desc. x 5,00)</t>
  </si>
  <si>
    <t>Área de Serviço</t>
  </si>
  <si>
    <t>Banheiro Social</t>
  </si>
  <si>
    <t>Banheiro Suíte</t>
  </si>
  <si>
    <t>Custo Estimado Mercadoria</t>
  </si>
  <si>
    <t>Copa</t>
  </si>
  <si>
    <t>Custo Estimado Total Despesas</t>
  </si>
  <si>
    <t>Saldo Venda</t>
  </si>
  <si>
    <t>Cozinha/Qto/home/banheiro</t>
  </si>
  <si>
    <t>Desconto dado à Vista</t>
  </si>
  <si>
    <t>Valor Venda à Vista - Preço Exta</t>
  </si>
  <si>
    <t>Custo Estimado Despesas</t>
  </si>
  <si>
    <t>Quarto Casal</t>
  </si>
  <si>
    <t>Custos</t>
  </si>
  <si>
    <t>origem</t>
  </si>
  <si>
    <t>Custo</t>
  </si>
  <si>
    <t>Quarto de Empregada</t>
  </si>
  <si>
    <t>fabrica</t>
  </si>
  <si>
    <t>Quarto solteiro</t>
  </si>
  <si>
    <t>Comissão RT</t>
  </si>
  <si>
    <t>venda</t>
  </si>
  <si>
    <t>Sala</t>
  </si>
  <si>
    <t>comissão=</t>
  </si>
  <si>
    <t>8,25%-desconto de venda</t>
  </si>
  <si>
    <t>Vendedor</t>
  </si>
  <si>
    <t>comissão incluso(férias+13º)</t>
  </si>
  <si>
    <t>Vend.(4,65%a 10%)</t>
  </si>
  <si>
    <t>Comissão do Projeto</t>
  </si>
  <si>
    <t>Vend. Com.Férias</t>
  </si>
  <si>
    <t>comissão Férias + 1/3</t>
  </si>
  <si>
    <t>Padrão Comissão inicial =</t>
  </si>
  <si>
    <t>Vend. Com. 13º</t>
  </si>
  <si>
    <t>13º (1/12" da comissão)</t>
  </si>
  <si>
    <t>A)Original Tabela</t>
  </si>
  <si>
    <t>Indice Reajuste</t>
  </si>
  <si>
    <t>Vend. Com. FGTS</t>
  </si>
  <si>
    <t>FGTS 8º do Total da Comissão</t>
  </si>
  <si>
    <t>Tx Juros 46100</t>
  </si>
  <si>
    <t>B) Nova Tabela</t>
  </si>
  <si>
    <t xml:space="preserve">Novo Fator Juros </t>
  </si>
  <si>
    <t>Montador Valor Compra Fábrica</t>
  </si>
  <si>
    <t>Versão = Tx Juros Atual</t>
  </si>
  <si>
    <t>Montagem Valor Venda à vista</t>
  </si>
  <si>
    <t>T .Percentual</t>
  </si>
  <si>
    <t>Data Juros Atual =</t>
  </si>
  <si>
    <t>Diferença B menos A</t>
  </si>
  <si>
    <t>Gerente</t>
  </si>
  <si>
    <t>Prêmio Fabrica</t>
  </si>
  <si>
    <t>Campo pra comparar validade = validar</t>
  </si>
  <si>
    <t>validade do sistema esta na losango 30 celula k100, alterar na planilha 2 controle de loja.</t>
  </si>
  <si>
    <t>Resumo Geral</t>
  </si>
  <si>
    <t>Total Fabrica =</t>
  </si>
  <si>
    <t>ok</t>
  </si>
  <si>
    <t>Senha de proteção 3 sistema F Lj = shopmoveis</t>
  </si>
  <si>
    <t>Total Outros =</t>
  </si>
  <si>
    <t>Total Geral Desp.=</t>
  </si>
  <si>
    <t>Total Venda =</t>
  </si>
  <si>
    <t>Total Lucro =</t>
  </si>
  <si>
    <t>Juros</t>
  </si>
  <si>
    <t>Total Projeto+Extra</t>
  </si>
  <si>
    <t>Cabeçalho da Planilha</t>
  </si>
  <si>
    <t>Preencha os campos em amarelo. Modelo 400</t>
  </si>
  <si>
    <t>Sistema vencido,entre contato Neri (21)97014-2420</t>
  </si>
  <si>
    <t>Segurança do sistema</t>
  </si>
  <si>
    <t>(21) 97014-2420</t>
  </si>
  <si>
    <t>Valide do sistema :</t>
  </si>
  <si>
    <t>Preencha os campos em amarelo. MK 400</t>
  </si>
  <si>
    <t>Sistema vencido entre em contato  Neri (21) 97014-2420</t>
  </si>
  <si>
    <t>14 Personalizado</t>
  </si>
  <si>
    <t>fator</t>
  </si>
  <si>
    <t xml:space="preserve">Pagto com Entrada   </t>
  </si>
  <si>
    <t>Losango     30 dd             Cheque               data  : 07 julho 2023</t>
  </si>
  <si>
    <t>30 dd</t>
  </si>
  <si>
    <t>carnet</t>
  </si>
  <si>
    <t>Juros Losango</t>
  </si>
  <si>
    <t xml:space="preserve">0 + Parcela 30 DD </t>
  </si>
  <si>
    <t>1 + Parcelas 30DD</t>
  </si>
  <si>
    <t>valor orig.</t>
  </si>
  <si>
    <t>Fator</t>
  </si>
  <si>
    <t>Retorno</t>
  </si>
  <si>
    <t>Parcela</t>
  </si>
  <si>
    <t>Parcela*novo fator</t>
  </si>
  <si>
    <t>Total*novo fator</t>
  </si>
  <si>
    <t xml:space="preserve"> MENSAL</t>
  </si>
  <si>
    <t>Parcela P*novo fator</t>
  </si>
  <si>
    <t>total *Fator</t>
  </si>
  <si>
    <t>Parcela R - 1º parcela</t>
  </si>
  <si>
    <t xml:space="preserve">Data validade Planilha </t>
  </si>
  <si>
    <t>Fator Planilha Personalizar</t>
  </si>
  <si>
    <t>Fator de atualização</t>
  </si>
  <si>
    <t>Fator Planilha após vencto planilha</t>
  </si>
  <si>
    <t>Losango        60 dd              Cheque               data  : 07 julho 2023</t>
  </si>
  <si>
    <t>Parcela 60 dd</t>
  </si>
  <si>
    <t>60 dd</t>
  </si>
  <si>
    <t xml:space="preserve">0 + Parcela 60 DD </t>
  </si>
  <si>
    <t>Parcela M*novo fator</t>
  </si>
  <si>
    <t>Losango    90 dd            Cheque               data  : 07 julho 2023</t>
  </si>
  <si>
    <t>90 dd</t>
  </si>
  <si>
    <t xml:space="preserve">0 + Parcela 90 DD </t>
  </si>
  <si>
    <t>(  X  ) Santander</t>
  </si>
  <si>
    <t>Sugestão de Percentual do Valor de Compra</t>
  </si>
  <si>
    <t xml:space="preserve">SUGESTÕES  DE FORMA DE TRABALHO </t>
  </si>
  <si>
    <t>Sugestão de Percentual do Valor de Venda à Vista</t>
  </si>
  <si>
    <t>(0,5%)</t>
  </si>
  <si>
    <t>Supervisor</t>
  </si>
  <si>
    <t xml:space="preserve">Diversos </t>
  </si>
  <si>
    <t>Impostos N. Fiscal</t>
  </si>
  <si>
    <t>Franquia</t>
  </si>
  <si>
    <t>ADM da Compra</t>
  </si>
  <si>
    <t>ADM Venda à vista</t>
  </si>
  <si>
    <t>Gestão valor de Compra</t>
  </si>
  <si>
    <t>montador 1</t>
  </si>
  <si>
    <t>Fábricas</t>
  </si>
  <si>
    <t>Custo de Fábricas</t>
  </si>
  <si>
    <t xml:space="preserve">(  X   )  sim               (    ) Não </t>
  </si>
  <si>
    <t xml:space="preserve">      Observação Importante :  O Certificado normal móveis (caixaria, portas e chapas) é de</t>
  </si>
  <si>
    <t>Compra Diversas =</t>
  </si>
  <si>
    <t>Saldo à Obsevar =</t>
  </si>
  <si>
    <t>* Projeto com 3D * Executivo</t>
  </si>
  <si>
    <t>2) RT com Leds (mídias)</t>
  </si>
  <si>
    <t xml:space="preserve">* Indição e Gerencioamento do Consumidor </t>
  </si>
  <si>
    <t>3) Ofereçemos 2 opções (Site,Cartão digital, Sistema)</t>
  </si>
  <si>
    <t>*Na Gestão o Percentual é de 5% do custo</t>
  </si>
  <si>
    <t>*Na Franquia o Percentual é de 5% da venda</t>
  </si>
  <si>
    <t>Atenção : Oferemos aos Parceiros da ByDesigner a opção da integração a nossa equipe de Projetistas e Mídias com adesão de Leds</t>
  </si>
  <si>
    <t>Gestão ByDesigner</t>
  </si>
  <si>
    <t>Opcional (2%) Executivo</t>
  </si>
  <si>
    <t>Cozinha e Lavanderia</t>
  </si>
  <si>
    <t>Sala com Estante Metalon</t>
  </si>
  <si>
    <t>Banheiro Suite</t>
  </si>
  <si>
    <t>RT Adm Leds ByDesigner (5%)</t>
  </si>
  <si>
    <t>DG-0625-01</t>
  </si>
  <si>
    <t>Sistema Gestor de Loja - SisBrasil.rio.br</t>
  </si>
  <si>
    <t>Ambientes</t>
  </si>
  <si>
    <t>Projetos Personalizados(8% Venda à Vista)</t>
  </si>
  <si>
    <t xml:space="preserve">(8% + 500,00 mês (30 ambientes mês) extra(3D 160,00 por ambiente) </t>
  </si>
  <si>
    <t>Percentual Comissão</t>
  </si>
  <si>
    <t>Ambiente</t>
  </si>
  <si>
    <t>Sugestão Solicitada Cliente :</t>
  </si>
  <si>
    <t>Data hoje =</t>
  </si>
  <si>
    <t>Fora validade x &gt;&gt;</t>
  </si>
  <si>
    <t>Led</t>
  </si>
  <si>
    <t>(    ) SocialCred</t>
  </si>
  <si>
    <t>24 Número máximo de financiamento que a Loja aceita</t>
  </si>
  <si>
    <t>DADOS DA COMPRA (o valor bruto precisa bater com o total bruto produtos)</t>
  </si>
  <si>
    <t>s</t>
  </si>
  <si>
    <t>* Qtd financiamento, colocar na 3Orçto s nas parcelas</t>
  </si>
  <si>
    <t>NOME DE USO</t>
  </si>
  <si>
    <t xml:space="preserve"> Competenza  </t>
  </si>
  <si>
    <t>Diferença da compra</t>
  </si>
  <si>
    <t>Lucro da da Venda (Crédito-Débito)  =</t>
  </si>
  <si>
    <t>Total Geral  = sem  (Diversos+Prêmio)</t>
  </si>
  <si>
    <t>SisBrasil Nº  10</t>
  </si>
  <si>
    <t xml:space="preserve">  01/01/2023</t>
  </si>
  <si>
    <t>Niterói</t>
  </si>
  <si>
    <t xml:space="preserve"> (    ) Exclusiva</t>
  </si>
  <si>
    <t xml:space="preserve">  (      )  Cartão Evo</t>
  </si>
  <si>
    <t xml:space="preserve">  (     ) Cartão</t>
  </si>
  <si>
    <t>15 Número máximo de financiamento cartão Loja aceita</t>
  </si>
  <si>
    <t>1) Transportes  Competenza (15%);    2) Marin (18,03% a 21%);  3) Transp.Mérica (capital até 23%)</t>
  </si>
  <si>
    <t>1) Temos opção de Projetistas</t>
  </si>
  <si>
    <t>(2,0%)</t>
  </si>
  <si>
    <t>Executivo "Conferente" de montagem</t>
  </si>
  <si>
    <t>(3,0%)</t>
  </si>
  <si>
    <t>(5,0%)</t>
  </si>
  <si>
    <t>CPF 53727602996</t>
  </si>
  <si>
    <t>Versão nº 22/07/2025</t>
  </si>
  <si>
    <t>Nome do dono loja</t>
  </si>
  <si>
    <t>CPF da loja</t>
  </si>
  <si>
    <t>Fone 1</t>
  </si>
  <si>
    <t>Fone 2</t>
  </si>
  <si>
    <t>E-mail da loja</t>
  </si>
  <si>
    <t>Razão Social da Loja</t>
  </si>
  <si>
    <t>Fone da loja</t>
  </si>
  <si>
    <t>Bairro da loja</t>
  </si>
  <si>
    <t>Local da loja</t>
  </si>
  <si>
    <t>CEP da Loja</t>
  </si>
  <si>
    <t>Cidade da Loja</t>
  </si>
  <si>
    <t>CNPJ da Loja</t>
  </si>
  <si>
    <t>Inscrição da loja</t>
  </si>
  <si>
    <t>Responsável da loja</t>
  </si>
  <si>
    <t>Fone</t>
  </si>
  <si>
    <t>Site da loja</t>
  </si>
  <si>
    <t>E-mail da Loja</t>
  </si>
  <si>
    <t>Responsável Financeiro</t>
  </si>
  <si>
    <t>E-mail do Financeiro</t>
  </si>
  <si>
    <t>Vendedor 1</t>
  </si>
  <si>
    <t>Vendedor 2</t>
  </si>
  <si>
    <t>Vendedor 3</t>
  </si>
  <si>
    <t>11.111.111-77</t>
  </si>
  <si>
    <t>222.222.222-22</t>
  </si>
  <si>
    <t>333.333.333-33</t>
  </si>
  <si>
    <t>Vendedor(a) Projetista : Vendedor 1</t>
  </si>
  <si>
    <t>Vendedor(a) Projetista : Vendedor 2</t>
  </si>
  <si>
    <t>Vendedor(a) Projetista : Vendedor3</t>
  </si>
  <si>
    <t>(21) 11111-1111</t>
  </si>
  <si>
    <t>(21) 22222-2222</t>
  </si>
  <si>
    <t>(21) 33333-3333</t>
  </si>
  <si>
    <t>Nome loja</t>
  </si>
  <si>
    <t>tel://5521111111111</t>
  </si>
  <si>
    <t>https://wa.me/5521222222222</t>
  </si>
  <si>
    <t>Toque nos ícones acima... &lt;BR&gt; Nome  - Gerente Comercial&lt;br&gt; Email: &lt;a href="mailto:E-mail@gmail.com"&gt;e-mail@gmail.com</t>
  </si>
  <si>
    <t>Nome Fantasia Loja</t>
  </si>
  <si>
    <t>Endereço da Loja</t>
  </si>
  <si>
    <t xml:space="preserve">Loja </t>
  </si>
  <si>
    <t>Fantasia</t>
  </si>
  <si>
    <t>Fabrica 2</t>
  </si>
  <si>
    <t>Fabrica 3</t>
  </si>
  <si>
    <t>Compra Móveis  =</t>
  </si>
  <si>
    <t>Compra Lacas  =</t>
  </si>
  <si>
    <t>Compra Vidros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</si>
</sst>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quot;R$&quot;* #,##0.00_-;\-&quot;R$&quot;* #,##0.00_-;_-&quot;R$&quot;* &quot;-&quot;??_-;_-@_-"/>
    <numFmt numFmtId="165" formatCode="&quot;R$&quot;#,##0.00"/>
    <numFmt numFmtId="166" formatCode="[$-409]h:mm\ AM/PM;@"/>
    <numFmt numFmtId="167" formatCode="[$-F800]dddd\,\ mmmm\ dd\,\ yyyy"/>
    <numFmt numFmtId="168" formatCode="##&quot;.&quot;###&quot;.&quot;###&quot;/&quot;####&quot;-&quot;##"/>
    <numFmt numFmtId="169" formatCode="##&quot;.&quot;###&quot;.&quot;###"/>
    <numFmt numFmtId="170" formatCode="##&quot;.&quot;###&quot;-&quot;##"/>
    <numFmt numFmtId="171" formatCode="&quot;R$&quot;\ #,##0.00"/>
    <numFmt numFmtId="172" formatCode="#,##0.00_ ;\-#,##0.00\ "/>
    <numFmt numFmtId="173" formatCode="###&quot;.&quot;###&quot;.&quot;###&quot;-&quot;##"/>
    <numFmt numFmtId="174" formatCode="00000\-000"/>
    <numFmt numFmtId="175" formatCode="\(##\)\ #####\-####"/>
    <numFmt numFmtId="176" formatCode="d/m;@"/>
    <numFmt numFmtId="177" formatCode="[$-416]mmm\-yy;@"/>
    <numFmt numFmtId="178" formatCode="0.000%"/>
  </numFmts>
  <fonts count="19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i/>
      <sz val="11"/>
      <name val="Arial"/>
      <family val="2"/>
    </font>
    <font>
      <i/>
      <sz val="11"/>
      <name val="Arial"/>
      <family val="2"/>
    </font>
    <font>
      <i/>
      <sz val="11"/>
      <color indexed="8"/>
      <name val="Arial"/>
      <family val="2"/>
    </font>
    <font>
      <i/>
      <sz val="9"/>
      <name val="Arial"/>
      <family val="2"/>
    </font>
    <font>
      <b/>
      <i/>
      <sz val="9"/>
      <name val="Arial"/>
      <family val="2"/>
    </font>
    <font>
      <b/>
      <i/>
      <sz val="8"/>
      <name val="Arial"/>
      <family val="2"/>
    </font>
    <font>
      <b/>
      <i/>
      <sz val="10"/>
      <name val="Arial"/>
      <family val="2"/>
    </font>
    <font>
      <i/>
      <sz val="10"/>
      <name val="Arial"/>
      <family val="2"/>
    </font>
    <font>
      <sz val="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2"/>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name val="Arial"/>
      <family val="2"/>
    </font>
    <font>
      <i/>
      <sz val="8"/>
      <name val="Arial"/>
      <family val="2"/>
    </font>
    <font>
      <i/>
      <sz val="9"/>
      <color indexed="10"/>
      <name val="Arial"/>
      <family val="2"/>
    </font>
    <font>
      <b/>
      <sz val="8"/>
      <name val="Arial"/>
      <family val="2"/>
    </font>
    <font>
      <b/>
      <i/>
      <sz val="10"/>
      <color indexed="10"/>
      <name val="Arial"/>
      <family val="2"/>
    </font>
    <font>
      <b/>
      <sz val="9"/>
      <name val="Arial"/>
      <family val="2"/>
    </font>
    <font>
      <i/>
      <sz val="10"/>
      <color indexed="8"/>
      <name val="Arial"/>
      <family val="2"/>
    </font>
    <font>
      <b/>
      <sz val="10"/>
      <name val="Arial"/>
      <family val="2"/>
    </font>
    <font>
      <b/>
      <i/>
      <sz val="7.5"/>
      <name val="Arial"/>
      <family val="2"/>
    </font>
    <font>
      <b/>
      <i/>
      <sz val="8"/>
      <color indexed="10"/>
      <name val="Arial"/>
      <family val="2"/>
    </font>
    <font>
      <sz val="11"/>
      <name val="Arial"/>
      <family val="2"/>
    </font>
    <font>
      <sz val="14"/>
      <name val="Arial"/>
      <family val="2"/>
    </font>
    <font>
      <sz val="10"/>
      <name val="Arial"/>
      <family val="2"/>
    </font>
    <font>
      <b/>
      <i/>
      <sz val="9"/>
      <color indexed="10"/>
      <name val="Arial"/>
      <family val="2"/>
    </font>
    <font>
      <b/>
      <sz val="12"/>
      <name val="Arial"/>
      <family val="2"/>
    </font>
    <font>
      <sz val="9"/>
      <name val="Arial"/>
      <family val="2"/>
    </font>
    <font>
      <sz val="23"/>
      <name val="Arial"/>
      <family val="2"/>
    </font>
    <font>
      <b/>
      <i/>
      <sz val="10"/>
      <color indexed="8"/>
      <name val="Arial"/>
      <family val="2"/>
    </font>
    <font>
      <sz val="10"/>
      <name val="Arial"/>
      <family val="2"/>
    </font>
    <font>
      <b/>
      <sz val="36"/>
      <name val="Arial"/>
      <family val="2"/>
    </font>
    <font>
      <b/>
      <sz val="11"/>
      <name val="Arial"/>
      <family val="2"/>
    </font>
    <font>
      <b/>
      <sz val="8.5"/>
      <name val="Arial"/>
      <family val="2"/>
    </font>
    <font>
      <u/>
      <sz val="10"/>
      <color theme="10"/>
      <name val="Arial"/>
      <family val="2"/>
    </font>
    <font>
      <sz val="10"/>
      <color theme="1"/>
      <name val="Bradesco Sans"/>
      <family val="2"/>
    </font>
    <font>
      <sz val="11"/>
      <color theme="1"/>
      <name val="Calibri"/>
      <family val="2"/>
      <scheme val="minor"/>
    </font>
    <font>
      <u/>
      <sz val="11"/>
      <color theme="10"/>
      <name val="Calibri"/>
      <family val="2"/>
      <scheme val="minor"/>
    </font>
    <font>
      <sz val="18"/>
      <color theme="1"/>
      <name val="Calibri"/>
      <family val="2"/>
      <scheme val="minor"/>
    </font>
    <font>
      <b/>
      <sz val="11"/>
      <color theme="1"/>
      <name val="Calibri"/>
      <family val="2"/>
      <scheme val="minor"/>
    </font>
    <font>
      <b/>
      <sz val="9.5"/>
      <color theme="1"/>
      <name val="Calibri"/>
      <family val="2"/>
      <scheme val="minor"/>
    </font>
    <font>
      <b/>
      <i/>
      <sz val="9"/>
      <color theme="0"/>
      <name val="Arial"/>
      <family val="2"/>
    </font>
    <font>
      <i/>
      <sz val="9"/>
      <color theme="0"/>
      <name val="Arial"/>
      <family val="2"/>
    </font>
    <font>
      <i/>
      <sz val="11"/>
      <color theme="0" tint="-0.34998626667073579"/>
      <name val="Arial"/>
      <family val="2"/>
    </font>
    <font>
      <b/>
      <sz val="9"/>
      <color theme="0" tint="-0.34998626667073579"/>
      <name val="Arial"/>
      <family val="2"/>
    </font>
    <font>
      <i/>
      <sz val="8"/>
      <color rgb="FFFF0000"/>
      <name val="Arial"/>
      <family val="2"/>
    </font>
    <font>
      <b/>
      <i/>
      <sz val="10"/>
      <color theme="0" tint="-0.34998626667073579"/>
      <name val="Arial"/>
      <family val="2"/>
    </font>
    <font>
      <b/>
      <i/>
      <sz val="10"/>
      <color rgb="FFFF0000"/>
      <name val="Arial"/>
      <family val="2"/>
    </font>
    <font>
      <b/>
      <i/>
      <sz val="9"/>
      <color theme="1" tint="0.499984740745262"/>
      <name val="Arial"/>
      <family val="2"/>
    </font>
    <font>
      <b/>
      <i/>
      <sz val="11"/>
      <color rgb="FFFF0000"/>
      <name val="Arial"/>
      <family val="2"/>
    </font>
    <font>
      <sz val="9"/>
      <color rgb="FFFF0000"/>
      <name val="Arial"/>
      <family val="2"/>
    </font>
    <font>
      <b/>
      <sz val="15"/>
      <color theme="1"/>
      <name val="Calibri"/>
      <family val="2"/>
      <scheme val="minor"/>
    </font>
    <font>
      <b/>
      <sz val="12"/>
      <color theme="1"/>
      <name val="Calibri"/>
      <family val="2"/>
      <scheme val="minor"/>
    </font>
    <font>
      <b/>
      <sz val="14"/>
      <color theme="1"/>
      <name val="Calibri"/>
      <family val="2"/>
      <scheme val="minor"/>
    </font>
    <font>
      <i/>
      <sz val="11"/>
      <color theme="10"/>
      <name val="Calibri"/>
      <family val="2"/>
      <scheme val="minor"/>
    </font>
    <font>
      <b/>
      <sz val="10"/>
      <color theme="1"/>
      <name val="Calibri"/>
      <family val="2"/>
      <scheme val="minor"/>
    </font>
    <font>
      <b/>
      <sz val="9"/>
      <color theme="1"/>
      <name val="Calibri"/>
      <family val="2"/>
      <scheme val="minor"/>
    </font>
    <font>
      <b/>
      <i/>
      <sz val="8"/>
      <color theme="0"/>
      <name val="Arial"/>
      <family val="2"/>
    </font>
    <font>
      <b/>
      <i/>
      <sz val="10"/>
      <color theme="0"/>
      <name val="Arial"/>
      <family val="2"/>
    </font>
    <font>
      <sz val="24"/>
      <name val="Calibri"/>
      <family val="2"/>
    </font>
    <font>
      <b/>
      <sz val="48"/>
      <name val="Brush Script MT"/>
      <family val="4"/>
    </font>
    <font>
      <sz val="40"/>
      <name val="Brush Script MT"/>
      <family val="4"/>
    </font>
    <font>
      <b/>
      <sz val="34"/>
      <name val="Brush Script MT"/>
      <family val="4"/>
    </font>
    <font>
      <sz val="55"/>
      <name val="Brush Script MT"/>
      <family val="4"/>
    </font>
    <font>
      <sz val="9"/>
      <color rgb="FFC00000"/>
      <name val="Arial"/>
      <family val="2"/>
    </font>
    <font>
      <sz val="10"/>
      <name val="Arial"/>
      <family val="2"/>
    </font>
    <font>
      <sz val="11"/>
      <color theme="1"/>
      <name val="Calibri"/>
      <family val="2"/>
      <scheme val="minor"/>
    </font>
    <font>
      <sz val="7"/>
      <name val="Arial"/>
      <family val="2"/>
    </font>
    <font>
      <b/>
      <sz val="9"/>
      <color rgb="FF000000"/>
      <name val="Calibri"/>
      <family val="2"/>
    </font>
    <font>
      <sz val="10"/>
      <color rgb="FFFF0000"/>
      <name val="Arial"/>
      <family val="2"/>
    </font>
    <font>
      <b/>
      <sz val="9"/>
      <color indexed="81"/>
      <name val="Tahoma"/>
      <family val="2"/>
    </font>
    <font>
      <sz val="9"/>
      <color indexed="81"/>
      <name val="Tahoma"/>
      <family val="2"/>
    </font>
    <font>
      <sz val="10"/>
      <color theme="0"/>
      <name val="Arial"/>
      <family val="2"/>
    </font>
    <font>
      <sz val="16"/>
      <color theme="0"/>
      <name val="Arial"/>
      <family val="2"/>
    </font>
    <font>
      <sz val="10"/>
      <name val="Bradesco Sans"/>
    </font>
    <font>
      <sz val="10"/>
      <color rgb="FFC00000"/>
      <name val="Bradesco Sans"/>
    </font>
    <font>
      <sz val="10"/>
      <color rgb="FF002060"/>
      <name val="Bradesco Sans"/>
    </font>
    <font>
      <sz val="12"/>
      <color theme="0"/>
      <name val="Arial"/>
      <family val="2"/>
    </font>
    <font>
      <u/>
      <sz val="10"/>
      <color theme="0"/>
      <name val="Arial"/>
      <family val="2"/>
    </font>
    <font>
      <b/>
      <sz val="12"/>
      <color theme="0"/>
      <name val="Calibri"/>
      <family val="2"/>
    </font>
    <font>
      <sz val="12"/>
      <color theme="0"/>
      <name val="Calibri"/>
      <family val="2"/>
    </font>
    <font>
      <sz val="12"/>
      <color indexed="8"/>
      <name val="Calibri"/>
      <family val="2"/>
    </font>
    <font>
      <b/>
      <sz val="12"/>
      <color indexed="8"/>
      <name val="Calibri"/>
      <family val="2"/>
    </font>
    <font>
      <sz val="10"/>
      <color indexed="8"/>
      <name val="Calibri"/>
      <family val="2"/>
    </font>
    <font>
      <sz val="8"/>
      <color indexed="8"/>
      <name val="Calibri"/>
      <family val="2"/>
    </font>
    <font>
      <sz val="9"/>
      <color indexed="8"/>
      <name val="Calibri"/>
      <family val="2"/>
    </font>
    <font>
      <sz val="11"/>
      <color theme="1"/>
      <name val="Calibri"/>
      <family val="2"/>
      <scheme val="minor"/>
    </font>
    <font>
      <b/>
      <sz val="12"/>
      <color rgb="FF000000"/>
      <name val="Arial"/>
      <family val="2"/>
    </font>
    <font>
      <u/>
      <sz val="12"/>
      <color theme="10"/>
      <name val="Arial"/>
      <family val="2"/>
    </font>
    <font>
      <sz val="12"/>
      <color rgb="FFC00000"/>
      <name val="Calibri"/>
      <family val="2"/>
    </font>
    <font>
      <b/>
      <sz val="9"/>
      <color indexed="8"/>
      <name val="Calibri"/>
      <family val="2"/>
    </font>
    <font>
      <sz val="6"/>
      <color indexed="8"/>
      <name val="Calibri"/>
      <family val="2"/>
    </font>
    <font>
      <u/>
      <sz val="6"/>
      <color theme="10"/>
      <name val="Arial"/>
      <family val="2"/>
    </font>
    <font>
      <b/>
      <sz val="10"/>
      <color indexed="8"/>
      <name val="Calibri"/>
      <family val="2"/>
    </font>
    <font>
      <sz val="11"/>
      <name val="Calibri"/>
      <family val="2"/>
    </font>
    <font>
      <sz val="12"/>
      <name val="Calibri"/>
      <family val="2"/>
    </font>
    <font>
      <b/>
      <i/>
      <sz val="8"/>
      <color theme="1"/>
      <name val="Arial"/>
      <family val="2"/>
    </font>
    <font>
      <b/>
      <i/>
      <sz val="7"/>
      <color theme="1"/>
      <name val="Arial"/>
      <family val="2"/>
    </font>
    <font>
      <u/>
      <sz val="11"/>
      <color theme="10"/>
      <name val="Arial"/>
      <family val="2"/>
    </font>
    <font>
      <u/>
      <sz val="8"/>
      <color theme="10"/>
      <name val="Arial"/>
      <family val="2"/>
    </font>
    <font>
      <u/>
      <sz val="9"/>
      <color theme="10"/>
      <name val="Arial"/>
      <family val="2"/>
    </font>
    <font>
      <u/>
      <sz val="7"/>
      <color theme="10"/>
      <name val="Arial"/>
      <family val="2"/>
    </font>
    <font>
      <b/>
      <i/>
      <sz val="7"/>
      <color theme="0"/>
      <name val="Arial"/>
      <family val="2"/>
    </font>
    <font>
      <i/>
      <u/>
      <sz val="8"/>
      <name val="Arial"/>
      <family val="2"/>
    </font>
    <font>
      <sz val="10"/>
      <color theme="1"/>
      <name val="Calibri"/>
      <family val="2"/>
      <scheme val="minor"/>
    </font>
    <font>
      <b/>
      <sz val="11"/>
      <color theme="0"/>
      <name val="Arial"/>
      <family val="2"/>
    </font>
    <font>
      <b/>
      <sz val="12"/>
      <color theme="0"/>
      <name val="Arial"/>
      <family val="2"/>
    </font>
    <font>
      <b/>
      <sz val="8"/>
      <color theme="0"/>
      <name val="Arial"/>
      <family val="2"/>
    </font>
    <font>
      <b/>
      <sz val="28"/>
      <name val="Arial"/>
      <family val="2"/>
    </font>
    <font>
      <sz val="8"/>
      <color theme="1"/>
      <name val="Calibri"/>
      <family val="2"/>
      <scheme val="minor"/>
    </font>
    <font>
      <b/>
      <sz val="8"/>
      <color theme="1"/>
      <name val="Calibri"/>
      <family val="2"/>
      <scheme val="minor"/>
    </font>
    <font>
      <b/>
      <sz val="7.5"/>
      <name val="Arial"/>
      <family val="2"/>
    </font>
    <font>
      <b/>
      <sz val="9"/>
      <color rgb="FFFF0000"/>
      <name val="Arial"/>
      <family val="2"/>
    </font>
    <font>
      <sz val="10"/>
      <name val="Arial"/>
      <family val="2"/>
    </font>
    <font>
      <sz val="11"/>
      <color theme="1"/>
      <name val="Calibri"/>
      <family val="2"/>
      <scheme val="minor"/>
    </font>
    <font>
      <sz val="10"/>
      <color theme="1"/>
      <name val="Bradesco Sans"/>
      <charset val="134"/>
    </font>
    <font>
      <sz val="6"/>
      <name val="Arial"/>
      <family val="2"/>
    </font>
    <font>
      <sz val="10"/>
      <name val="Arial"/>
      <family val="2"/>
    </font>
    <font>
      <sz val="8"/>
      <color rgb="FFC00000"/>
      <name val="Arial"/>
      <family val="2"/>
    </font>
    <font>
      <sz val="8"/>
      <color rgb="FFFF0000"/>
      <name val="Arial"/>
      <family val="2"/>
    </font>
    <font>
      <sz val="10"/>
      <color rgb="FF242424"/>
      <name val="Verdana"/>
      <family val="2"/>
    </font>
    <font>
      <sz val="9"/>
      <color rgb="FF000000"/>
      <name val="Calibri"/>
      <family val="2"/>
    </font>
    <font>
      <sz val="11"/>
      <color rgb="FF000000"/>
      <name val="Calibri"/>
      <family val="2"/>
    </font>
    <font>
      <sz val="9"/>
      <color rgb="FF000000"/>
      <name val="Verdana"/>
      <family val="2"/>
    </font>
    <font>
      <sz val="10"/>
      <color rgb="FF000000"/>
      <name val="Verdana"/>
      <family val="2"/>
    </font>
    <font>
      <sz val="11"/>
      <color rgb="FF242424"/>
      <name val="Segoe UI"/>
      <family val="2"/>
    </font>
    <font>
      <sz val="12"/>
      <color rgb="FFFF0000"/>
      <name val="Arial"/>
      <family val="2"/>
    </font>
    <font>
      <b/>
      <sz val="10"/>
      <color rgb="FF000000"/>
      <name val="Calibri"/>
      <family val="2"/>
    </font>
    <font>
      <sz val="9"/>
      <color rgb="FFFF0000"/>
      <name val="Calibri"/>
      <family val="2"/>
    </font>
    <font>
      <sz val="12"/>
      <color rgb="FF000000"/>
      <name val="Calibri"/>
      <family val="2"/>
    </font>
    <font>
      <sz val="10"/>
      <color rgb="FF000000"/>
      <name val="Calibri"/>
      <family val="2"/>
    </font>
    <font>
      <sz val="8"/>
      <color rgb="FF000000"/>
      <name val="Calibri"/>
      <family val="2"/>
    </font>
    <font>
      <sz val="18"/>
      <name val="Arial"/>
      <family val="2"/>
    </font>
    <font>
      <sz val="9"/>
      <color theme="1"/>
      <name val="Calibri"/>
      <family val="2"/>
      <scheme val="minor"/>
    </font>
    <font>
      <sz val="18"/>
      <name val="Calibri"/>
      <family val="2"/>
      <scheme val="minor"/>
    </font>
    <font>
      <b/>
      <sz val="16"/>
      <color theme="1"/>
      <name val="Calibri"/>
      <family val="2"/>
      <scheme val="minor"/>
    </font>
    <font>
      <b/>
      <sz val="11"/>
      <color theme="0"/>
      <name val="Calibri"/>
      <family val="2"/>
      <scheme val="minor"/>
    </font>
    <font>
      <b/>
      <sz val="10.5"/>
      <color theme="1"/>
      <name val="Calibri"/>
      <family val="2"/>
      <scheme val="minor"/>
    </font>
    <font>
      <b/>
      <sz val="11"/>
      <name val="Calibri"/>
      <family val="2"/>
      <scheme val="minor"/>
    </font>
    <font>
      <sz val="11"/>
      <color theme="0" tint="-0.499984740745262"/>
      <name val="Calibri"/>
      <family val="2"/>
      <scheme val="minor"/>
    </font>
    <font>
      <sz val="11"/>
      <color rgb="FFFF0000"/>
      <name val="Calibri"/>
      <family val="2"/>
      <scheme val="minor"/>
    </font>
    <font>
      <b/>
      <sz val="14"/>
      <color rgb="FFFF0000"/>
      <name val="Calibri"/>
      <family val="2"/>
      <scheme val="minor"/>
    </font>
    <font>
      <b/>
      <sz val="11"/>
      <color rgb="FFFF0000"/>
      <name val="Calibri"/>
      <family val="2"/>
      <scheme val="minor"/>
    </font>
    <font>
      <sz val="11"/>
      <color theme="0"/>
      <name val="Calibri"/>
      <family val="2"/>
      <scheme val="minor"/>
    </font>
    <font>
      <u/>
      <sz val="11"/>
      <color theme="0"/>
      <name val="Calibri"/>
      <family val="2"/>
      <scheme val="minor"/>
    </font>
    <font>
      <b/>
      <i/>
      <sz val="10"/>
      <color rgb="FFFFFFFF"/>
      <name val="Arial"/>
      <family val="2"/>
    </font>
    <font>
      <b/>
      <i/>
      <sz val="8"/>
      <color rgb="FFFFFFFF"/>
      <name val="Arial"/>
      <family val="2"/>
    </font>
    <font>
      <b/>
      <sz val="22"/>
      <name val="Calibri"/>
      <family val="2"/>
    </font>
    <font>
      <sz val="9"/>
      <color indexed="81"/>
      <name val="Segoe UI"/>
      <family val="2"/>
    </font>
    <font>
      <b/>
      <sz val="9"/>
      <color indexed="81"/>
      <name val="Segoe UI"/>
      <family val="2"/>
    </font>
    <font>
      <b/>
      <sz val="7"/>
      <name val="Arial"/>
      <family val="2"/>
    </font>
    <font>
      <b/>
      <i/>
      <sz val="7"/>
      <name val="Arial"/>
      <family val="2"/>
    </font>
    <font>
      <b/>
      <sz val="8"/>
      <color indexed="8"/>
      <name val="Calibri"/>
      <family val="2"/>
    </font>
    <font>
      <b/>
      <sz val="6"/>
      <color indexed="8"/>
      <name val="Calibri"/>
      <family val="2"/>
    </font>
    <font>
      <b/>
      <i/>
      <sz val="9"/>
      <color rgb="FFB2B2B2"/>
      <name val="Arial"/>
      <family val="2"/>
    </font>
    <font>
      <b/>
      <i/>
      <sz val="6"/>
      <name val="Arial"/>
      <family val="2"/>
    </font>
    <font>
      <sz val="5"/>
      <color indexed="8"/>
      <name val="Calibri"/>
      <family val="2"/>
    </font>
    <font>
      <b/>
      <sz val="6"/>
      <name val="Arial"/>
      <family val="2"/>
    </font>
    <font>
      <b/>
      <i/>
      <sz val="15"/>
      <color theme="0"/>
      <name val="Arial"/>
      <family val="2"/>
    </font>
    <font>
      <sz val="9"/>
      <color theme="0"/>
      <name val="Arial"/>
      <family val="2"/>
    </font>
    <font>
      <b/>
      <i/>
      <sz val="12"/>
      <color theme="0"/>
      <name val="Arial"/>
      <family val="2"/>
    </font>
    <font>
      <i/>
      <sz val="14"/>
      <color theme="0"/>
      <name val="Arial"/>
      <family val="2"/>
    </font>
    <font>
      <b/>
      <i/>
      <sz val="11"/>
      <color theme="0"/>
      <name val="Arial"/>
      <family val="2"/>
    </font>
    <font>
      <i/>
      <sz val="10"/>
      <color theme="0"/>
      <name val="Arial"/>
      <family val="2"/>
    </font>
    <font>
      <i/>
      <sz val="12"/>
      <color theme="0"/>
      <name val="Arial"/>
      <family val="2"/>
    </font>
    <font>
      <sz val="9"/>
      <color theme="0"/>
      <name val="Tahoma"/>
      <family val="2"/>
    </font>
    <font>
      <i/>
      <sz val="8"/>
      <color theme="0"/>
      <name val="Arial"/>
      <family val="2"/>
    </font>
    <font>
      <sz val="8"/>
      <color theme="0"/>
      <name val="Arial"/>
      <family val="2"/>
    </font>
    <font>
      <b/>
      <sz val="10"/>
      <color theme="0"/>
      <name val="Arial"/>
      <family val="2"/>
    </font>
    <font>
      <b/>
      <sz val="10"/>
      <color theme="0"/>
      <name val="Calibri"/>
      <family val="2"/>
    </font>
    <font>
      <b/>
      <sz val="10"/>
      <name val="Calibri"/>
      <family val="2"/>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13"/>
        <bgColor indexed="64"/>
      </patternFill>
    </fill>
    <fill>
      <patternFill patternType="solid">
        <fgColor indexed="31"/>
        <bgColor indexed="64"/>
      </patternFill>
    </fill>
    <fill>
      <patternFill patternType="solid">
        <fgColor indexed="42"/>
        <bgColor indexed="64"/>
      </patternFill>
    </fill>
    <fill>
      <patternFill patternType="solid">
        <fgColor indexed="11"/>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00B0F0"/>
        <bgColor indexed="64"/>
      </patternFill>
    </fill>
    <fill>
      <patternFill patternType="solid">
        <fgColor theme="3"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rgb="FF000099"/>
        <bgColor indexed="64"/>
      </patternFill>
    </fill>
    <fill>
      <patternFill patternType="solid">
        <fgColor rgb="FF0070C0"/>
        <bgColor indexed="64"/>
      </patternFill>
    </fill>
    <fill>
      <patternFill patternType="solid">
        <fgColor theme="8" tint="0.39997558519241921"/>
        <bgColor indexed="64"/>
      </patternFill>
    </fill>
    <fill>
      <patternFill patternType="solid">
        <fgColor rgb="FFFFFF00"/>
        <bgColor rgb="FFC4BD97"/>
      </patternFill>
    </fill>
    <fill>
      <patternFill patternType="solid">
        <fgColor theme="6"/>
        <bgColor indexed="64"/>
      </patternFill>
    </fill>
    <fill>
      <patternFill patternType="solid">
        <fgColor rgb="FF92D050"/>
        <bgColor indexed="64"/>
      </patternFill>
    </fill>
    <fill>
      <patternFill patternType="solid">
        <fgColor theme="5" tint="0.39997558519241921"/>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3" tint="0.79998168889431442"/>
        <bgColor rgb="FFC4BD97"/>
      </patternFill>
    </fill>
    <fill>
      <patternFill patternType="solid">
        <fgColor theme="3" tint="0.79998168889431442"/>
        <bgColor rgb="FFB6DDE8"/>
      </patternFill>
    </fill>
    <fill>
      <patternFill patternType="solid">
        <fgColor theme="3" tint="0.79998168889431442"/>
        <bgColor rgb="FFFFFF00"/>
      </patternFill>
    </fill>
    <fill>
      <patternFill patternType="solid">
        <fgColor rgb="FFA66500"/>
        <bgColor indexed="64"/>
      </patternFill>
    </fill>
    <fill>
      <patternFill patternType="solid">
        <fgColor theme="6" tint="0.39997558519241921"/>
        <bgColor indexed="64"/>
      </patternFill>
    </fill>
  </fills>
  <borders count="1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auto="1"/>
      </left>
      <right style="medium">
        <color auto="1"/>
      </right>
      <top/>
      <bottom/>
      <diagonal/>
    </border>
    <border>
      <left/>
      <right style="thin">
        <color auto="1"/>
      </right>
      <top style="medium">
        <color auto="1"/>
      </top>
      <bottom style="thin">
        <color auto="1"/>
      </bottom>
      <diagonal/>
    </border>
    <border>
      <left/>
      <right/>
      <top/>
      <bottom style="medium">
        <color auto="1"/>
      </bottom>
      <diagonal/>
    </border>
    <border>
      <left style="medium">
        <color auto="1"/>
      </left>
      <right/>
      <top/>
      <bottom style="medium">
        <color auto="1"/>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auto="1"/>
      </left>
      <right style="thin">
        <color auto="1"/>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auto="1"/>
      </left>
      <right style="medium">
        <color auto="1"/>
      </right>
      <top style="thin">
        <color auto="1"/>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indexed="64"/>
      </left>
      <right style="medium">
        <color indexed="64"/>
      </right>
      <top style="thin">
        <color indexed="64"/>
      </top>
      <bottom style="thin">
        <color indexed="64"/>
      </bottom>
      <diagonal/>
    </border>
    <border>
      <left/>
      <right style="medium">
        <color indexed="64"/>
      </right>
      <top style="thin">
        <color auto="1"/>
      </top>
      <bottom style="medium">
        <color indexed="64"/>
      </bottom>
      <diagonal/>
    </border>
    <border>
      <left style="medium">
        <color indexed="64"/>
      </left>
      <right/>
      <top style="thin">
        <color auto="1"/>
      </top>
      <bottom/>
      <diagonal/>
    </border>
    <border>
      <left/>
      <right/>
      <top style="thin">
        <color auto="1"/>
      </top>
      <bottom/>
      <diagonal/>
    </border>
    <border>
      <left/>
      <right style="thin">
        <color indexed="64"/>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88">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4" borderId="0" applyNumberFormat="0" applyBorder="0" applyAlignment="0" applyProtection="0"/>
    <xf numFmtId="0" fontId="20" fillId="16" borderId="1" applyNumberFormat="0" applyAlignment="0" applyProtection="0"/>
    <xf numFmtId="0" fontId="21" fillId="17" borderId="2" applyNumberFormat="0" applyAlignment="0" applyProtection="0"/>
    <xf numFmtId="0" fontId="22" fillId="0" borderId="3" applyNumberFormat="0" applyFill="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21" borderId="0" applyNumberFormat="0" applyBorder="0" applyAlignment="0" applyProtection="0"/>
    <xf numFmtId="0" fontId="23" fillId="7" borderId="1" applyNumberFormat="0" applyAlignment="0" applyProtection="0"/>
    <xf numFmtId="0" fontId="57" fillId="0" borderId="0" applyNumberFormat="0" applyFill="0" applyBorder="0" applyAlignment="0" applyProtection="0">
      <alignment vertical="top"/>
      <protection locked="0"/>
    </xf>
    <xf numFmtId="0" fontId="60" fillId="0" borderId="0" applyNumberFormat="0" applyFill="0" applyBorder="0" applyAlignment="0" applyProtection="0"/>
    <xf numFmtId="164" fontId="53" fillId="0" borderId="0" applyFont="0" applyFill="0" applyBorder="0" applyAlignment="0" applyProtection="0"/>
    <xf numFmtId="0" fontId="25" fillId="22" borderId="0" applyNumberFormat="0" applyBorder="0" applyAlignment="0" applyProtection="0"/>
    <xf numFmtId="0" fontId="58" fillId="0" borderId="0"/>
    <xf numFmtId="0" fontId="59" fillId="0" borderId="0"/>
    <xf numFmtId="0" fontId="26" fillId="23" borderId="4" applyNumberFormat="0" applyFont="0" applyAlignment="0" applyProtection="0"/>
    <xf numFmtId="9" fontId="58" fillId="0" borderId="0" applyFont="0" applyFill="0" applyBorder="0" applyAlignment="0" applyProtection="0"/>
    <xf numFmtId="0" fontId="24" fillId="3" borderId="0" applyNumberFormat="0" applyBorder="0" applyAlignment="0" applyProtection="0"/>
    <xf numFmtId="0" fontId="27" fillId="16" borderId="5"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34" fillId="0" borderId="9" applyNumberFormat="0" applyFill="0" applyAlignment="0" applyProtection="0"/>
    <xf numFmtId="43" fontId="47" fillId="0" borderId="0" applyFont="0" applyFill="0" applyBorder="0" applyAlignment="0" applyProtection="0"/>
    <xf numFmtId="0" fontId="88" fillId="0" borderId="0"/>
    <xf numFmtId="43" fontId="35" fillId="0" borderId="0" applyFont="0" applyFill="0" applyBorder="0" applyAlignment="0" applyProtection="0"/>
    <xf numFmtId="9" fontId="35" fillId="0" borderId="0" applyFont="0" applyFill="0" applyBorder="0" applyAlignment="0" applyProtection="0"/>
    <xf numFmtId="0" fontId="35" fillId="0" borderId="0"/>
    <xf numFmtId="0" fontId="35" fillId="0" borderId="0"/>
    <xf numFmtId="0" fontId="35" fillId="0" borderId="0"/>
    <xf numFmtId="0" fontId="58" fillId="0" borderId="0"/>
    <xf numFmtId="0" fontId="7" fillId="0" borderId="0"/>
    <xf numFmtId="0" fontId="89" fillId="0" borderId="0"/>
    <xf numFmtId="0" fontId="7" fillId="0" borderId="0"/>
    <xf numFmtId="0" fontId="35" fillId="0" borderId="0"/>
    <xf numFmtId="0" fontId="57" fillId="0" borderId="0" applyNumberFormat="0" applyFill="0" applyBorder="0" applyAlignment="0" applyProtection="0">
      <alignment vertical="top"/>
      <protection locked="0"/>
    </xf>
    <xf numFmtId="0" fontId="6" fillId="0" borderId="0"/>
    <xf numFmtId="0" fontId="35" fillId="0" borderId="0"/>
    <xf numFmtId="0" fontId="109" fillId="0" borderId="0"/>
    <xf numFmtId="0" fontId="58" fillId="0" borderId="0"/>
    <xf numFmtId="0" fontId="5" fillId="0" borderId="0"/>
    <xf numFmtId="0" fontId="4" fillId="0" borderId="0"/>
    <xf numFmtId="0" fontId="4" fillId="0" borderId="0"/>
    <xf numFmtId="0" fontId="58" fillId="0" borderId="0"/>
    <xf numFmtId="0" fontId="3" fillId="0" borderId="0"/>
    <xf numFmtId="0" fontId="3" fillId="0" borderId="0"/>
    <xf numFmtId="0" fontId="35" fillId="0" borderId="0"/>
    <xf numFmtId="0" fontId="137" fillId="0" borderId="0"/>
    <xf numFmtId="0" fontId="2" fillId="0" borderId="0"/>
    <xf numFmtId="9" fontId="13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136" fillId="0" borderId="0"/>
    <xf numFmtId="0" fontId="2" fillId="0" borderId="0"/>
    <xf numFmtId="0" fontId="2" fillId="0" borderId="0"/>
    <xf numFmtId="0" fontId="140" fillId="0" borderId="0"/>
  </cellStyleXfs>
  <cellXfs count="2451">
    <xf numFmtId="0" fontId="0" fillId="0" borderId="0" xfId="0"/>
    <xf numFmtId="0" fontId="11" fillId="0" borderId="0" xfId="0" applyFont="1" applyAlignment="1" applyProtection="1">
      <alignment horizontal="center"/>
      <protection locked="0"/>
    </xf>
    <xf numFmtId="0" fontId="0" fillId="29" borderId="25" xfId="0" applyFill="1" applyBorder="1" applyAlignment="1">
      <alignment vertical="center"/>
    </xf>
    <xf numFmtId="0" fontId="0" fillId="0" borderId="0" xfId="0" applyAlignment="1">
      <alignment vertical="center"/>
    </xf>
    <xf numFmtId="0" fontId="35" fillId="31" borderId="10" xfId="0" applyFont="1" applyFill="1" applyBorder="1" applyAlignment="1">
      <alignment horizontal="center" vertical="center"/>
    </xf>
    <xf numFmtId="0" fontId="50" fillId="0" borderId="0" xfId="0" applyFont="1" applyAlignment="1" applyProtection="1">
      <alignment vertical="center"/>
      <protection locked="0"/>
    </xf>
    <xf numFmtId="0" fontId="12" fillId="0" borderId="0" xfId="0" applyFont="1" applyAlignment="1" applyProtection="1">
      <alignment horizontal="left"/>
      <protection locked="0"/>
    </xf>
    <xf numFmtId="0" fontId="12" fillId="0" borderId="0" xfId="0" applyFont="1" applyAlignment="1" applyProtection="1">
      <alignment horizontal="center"/>
      <protection locked="0"/>
    </xf>
    <xf numFmtId="10" fontId="11" fillId="0" borderId="0" xfId="0" applyNumberFormat="1" applyFont="1" applyAlignment="1" applyProtection="1">
      <alignment horizontal="center"/>
      <protection locked="0"/>
    </xf>
    <xf numFmtId="0" fontId="35" fillId="0" borderId="0" xfId="0" applyFont="1" applyAlignment="1">
      <alignment vertical="center"/>
    </xf>
    <xf numFmtId="0" fontId="35" fillId="29" borderId="10" xfId="0" applyFont="1" applyFill="1" applyBorder="1" applyAlignment="1">
      <alignment horizontal="center" vertical="center"/>
    </xf>
    <xf numFmtId="4" fontId="35" fillId="36" borderId="18" xfId="0" applyNumberFormat="1" applyFont="1" applyFill="1" applyBorder="1" applyAlignment="1" applyProtection="1">
      <alignment horizontal="center" vertical="center"/>
      <protection locked="0"/>
    </xf>
    <xf numFmtId="0" fontId="0" fillId="36" borderId="10" xfId="0" applyFill="1" applyBorder="1" applyAlignment="1">
      <alignment horizontal="center" vertical="center"/>
    </xf>
    <xf numFmtId="0" fontId="62" fillId="31" borderId="28" xfId="0" applyFont="1" applyFill="1" applyBorder="1" applyAlignment="1">
      <alignment horizontal="center" vertical="center"/>
    </xf>
    <xf numFmtId="0" fontId="62" fillId="31" borderId="40" xfId="0" applyFont="1" applyFill="1" applyBorder="1" applyAlignment="1">
      <alignment horizontal="center" vertical="center"/>
    </xf>
    <xf numFmtId="0" fontId="62" fillId="29" borderId="28" xfId="0" applyFont="1" applyFill="1" applyBorder="1" applyAlignment="1">
      <alignment horizontal="left" vertical="center"/>
    </xf>
    <xf numFmtId="0" fontId="0" fillId="29" borderId="32" xfId="0" applyFill="1" applyBorder="1" applyAlignment="1" applyProtection="1">
      <alignment horizontal="left" vertical="center"/>
      <protection locked="0"/>
    </xf>
    <xf numFmtId="0" fontId="35" fillId="31" borderId="40" xfId="0" applyFont="1" applyFill="1" applyBorder="1" applyAlignment="1">
      <alignment horizontal="center" vertical="center"/>
    </xf>
    <xf numFmtId="4" fontId="35" fillId="29" borderId="54" xfId="0" applyNumberFormat="1" applyFont="1" applyFill="1" applyBorder="1" applyAlignment="1" applyProtection="1">
      <alignment horizontal="center" vertical="center"/>
      <protection locked="0"/>
    </xf>
    <xf numFmtId="0" fontId="0" fillId="29" borderId="0" xfId="0" applyFill="1" applyAlignment="1">
      <alignment horizontal="right" vertical="center"/>
    </xf>
    <xf numFmtId="0" fontId="0" fillId="29" borderId="53" xfId="0" applyFill="1" applyBorder="1" applyAlignment="1">
      <alignment horizontal="left" vertical="center"/>
    </xf>
    <xf numFmtId="0" fontId="50" fillId="0" borderId="0" xfId="0" applyFont="1" applyAlignment="1">
      <alignment vertical="center"/>
    </xf>
    <xf numFmtId="0" fontId="0" fillId="0" borderId="0" xfId="0" applyAlignment="1">
      <alignment horizontal="left" vertical="center"/>
    </xf>
    <xf numFmtId="0" fontId="56" fillId="0" borderId="0" xfId="0" applyFont="1" applyAlignment="1">
      <alignment vertical="center"/>
    </xf>
    <xf numFmtId="0" fontId="50" fillId="34" borderId="23" xfId="0" applyFont="1" applyFill="1" applyBorder="1" applyAlignment="1">
      <alignment horizontal="center" vertical="center"/>
    </xf>
    <xf numFmtId="0" fontId="50" fillId="31" borderId="42" xfId="0" applyFont="1" applyFill="1" applyBorder="1" applyAlignment="1">
      <alignment horizontal="center" vertical="center"/>
    </xf>
    <xf numFmtId="0" fontId="50" fillId="31" borderId="40" xfId="0" applyFont="1" applyFill="1" applyBorder="1" applyAlignment="1">
      <alignment horizontal="center" vertical="center"/>
    </xf>
    <xf numFmtId="10" fontId="0" fillId="0" borderId="0" xfId="0" applyNumberFormat="1" applyAlignment="1">
      <alignment vertical="center"/>
    </xf>
    <xf numFmtId="0" fontId="55" fillId="0" borderId="0" xfId="0" applyFont="1" applyAlignment="1">
      <alignment vertical="center"/>
    </xf>
    <xf numFmtId="0" fontId="35" fillId="0" borderId="0" xfId="0" applyFont="1" applyAlignment="1">
      <alignment horizontal="center" vertical="center"/>
    </xf>
    <xf numFmtId="0" fontId="0" fillId="0" borderId="28" xfId="0" applyBorder="1" applyAlignment="1">
      <alignment vertical="center"/>
    </xf>
    <xf numFmtId="0" fontId="0" fillId="0" borderId="53" xfId="0" applyBorder="1" applyAlignment="1">
      <alignment vertical="center"/>
    </xf>
    <xf numFmtId="0" fontId="0" fillId="0" borderId="61" xfId="0" applyBorder="1" applyAlignment="1">
      <alignment vertical="center"/>
    </xf>
    <xf numFmtId="0" fontId="0" fillId="0" borderId="27" xfId="0" applyBorder="1" applyAlignment="1">
      <alignment vertical="center"/>
    </xf>
    <xf numFmtId="0" fontId="0" fillId="0" borderId="62" xfId="0" applyBorder="1" applyAlignment="1">
      <alignment vertical="center"/>
    </xf>
    <xf numFmtId="0" fontId="35" fillId="0" borderId="55" xfId="0" applyFont="1" applyBorder="1" applyAlignment="1">
      <alignment vertical="center"/>
    </xf>
    <xf numFmtId="0" fontId="50" fillId="0" borderId="55" xfId="0" applyFont="1" applyBorder="1" applyAlignment="1">
      <alignment vertical="center"/>
    </xf>
    <xf numFmtId="0" fontId="50" fillId="0" borderId="0" xfId="0" applyFont="1" applyAlignment="1">
      <alignment horizontal="left" vertical="center"/>
    </xf>
    <xf numFmtId="0" fontId="50" fillId="0" borderId="0" xfId="0" applyFont="1" applyAlignment="1">
      <alignment horizontal="right" vertical="center"/>
    </xf>
    <xf numFmtId="0" fontId="16" fillId="31" borderId="42" xfId="0" applyFont="1" applyFill="1" applyBorder="1" applyAlignment="1" applyProtection="1">
      <alignment horizontal="center" vertical="center"/>
      <protection locked="0"/>
    </xf>
    <xf numFmtId="10" fontId="50" fillId="29" borderId="51" xfId="0" applyNumberFormat="1" applyFont="1" applyFill="1" applyBorder="1" applyAlignment="1" applyProtection="1">
      <alignment vertical="center"/>
      <protection locked="0"/>
    </xf>
    <xf numFmtId="0" fontId="16" fillId="31" borderId="52" xfId="0" applyFont="1" applyFill="1" applyBorder="1" applyAlignment="1" applyProtection="1">
      <alignment horizontal="center" vertical="center"/>
      <protection locked="0"/>
    </xf>
    <xf numFmtId="0" fontId="50" fillId="34" borderId="59" xfId="0" applyFont="1" applyFill="1" applyBorder="1" applyAlignment="1">
      <alignment horizontal="center" vertical="center"/>
    </xf>
    <xf numFmtId="0" fontId="50" fillId="34" borderId="57" xfId="0" applyFont="1" applyFill="1" applyBorder="1" applyAlignment="1">
      <alignment horizontal="center" vertical="center"/>
    </xf>
    <xf numFmtId="0" fontId="16" fillId="31" borderId="18" xfId="0" applyFont="1" applyFill="1" applyBorder="1" applyAlignment="1" applyProtection="1">
      <alignment horizontal="center" vertical="center"/>
      <protection locked="0"/>
    </xf>
    <xf numFmtId="0" fontId="16" fillId="31" borderId="51" xfId="0" applyFont="1" applyFill="1" applyBorder="1" applyAlignment="1" applyProtection="1">
      <alignment vertical="center"/>
      <protection locked="0"/>
    </xf>
    <xf numFmtId="0" fontId="50" fillId="31" borderId="43" xfId="0" applyFont="1" applyFill="1" applyBorder="1" applyAlignment="1">
      <alignment horizontal="center" vertical="center"/>
    </xf>
    <xf numFmtId="0" fontId="50" fillId="31" borderId="41" xfId="0" applyFont="1" applyFill="1" applyBorder="1" applyAlignment="1" applyProtection="1">
      <alignment horizontal="center" vertical="center"/>
      <protection locked="0"/>
    </xf>
    <xf numFmtId="4" fontId="0" fillId="0" borderId="0" xfId="0" applyNumberFormat="1" applyAlignment="1">
      <alignment vertical="center"/>
    </xf>
    <xf numFmtId="0" fontId="80" fillId="29" borderId="0" xfId="0" applyFont="1" applyFill="1" applyAlignment="1" applyProtection="1">
      <alignment horizontal="center" vertical="center"/>
      <protection locked="0"/>
    </xf>
    <xf numFmtId="4" fontId="35" fillId="29" borderId="10" xfId="0" applyNumberFormat="1" applyFont="1" applyFill="1" applyBorder="1" applyAlignment="1" applyProtection="1">
      <alignment horizontal="center" vertical="center"/>
      <protection locked="0"/>
    </xf>
    <xf numFmtId="0" fontId="50" fillId="36" borderId="10" xfId="0" applyFont="1" applyFill="1" applyBorder="1" applyAlignment="1">
      <alignment horizontal="center" vertical="center"/>
    </xf>
    <xf numFmtId="0" fontId="35" fillId="0" borderId="0" xfId="59" applyAlignment="1">
      <alignment vertical="center"/>
    </xf>
    <xf numFmtId="0" fontId="50" fillId="34" borderId="21" xfId="59" applyFont="1" applyFill="1" applyBorder="1" applyAlignment="1">
      <alignment horizontal="center" vertical="center"/>
    </xf>
    <xf numFmtId="0" fontId="50" fillId="0" borderId="0" xfId="54" applyFont="1" applyAlignment="1">
      <alignment horizontal="left" vertical="center"/>
    </xf>
    <xf numFmtId="0" fontId="35" fillId="0" borderId="0" xfId="53"/>
    <xf numFmtId="0" fontId="35" fillId="0" borderId="0" xfId="53" applyAlignment="1">
      <alignment horizontal="center"/>
    </xf>
    <xf numFmtId="0" fontId="95" fillId="0" borderId="0" xfId="53" applyFont="1"/>
    <xf numFmtId="0" fontId="35" fillId="29" borderId="0" xfId="53" applyFill="1"/>
    <xf numFmtId="0" fontId="92" fillId="0" borderId="0" xfId="53" applyFont="1"/>
    <xf numFmtId="0" fontId="95" fillId="29" borderId="0" xfId="53" applyFont="1" applyFill="1"/>
    <xf numFmtId="43" fontId="35" fillId="32" borderId="10" xfId="53" applyNumberFormat="1" applyFill="1" applyBorder="1"/>
    <xf numFmtId="4" fontId="35" fillId="32" borderId="10" xfId="53" applyNumberFormat="1" applyFill="1" applyBorder="1"/>
    <xf numFmtId="43" fontId="35" fillId="0" borderId="10" xfId="53" applyNumberFormat="1" applyBorder="1"/>
    <xf numFmtId="43" fontId="35" fillId="32" borderId="20" xfId="53" applyNumberFormat="1" applyFill="1" applyBorder="1"/>
    <xf numFmtId="43" fontId="35" fillId="32" borderId="18" xfId="53" applyNumberFormat="1" applyFill="1" applyBorder="1" applyAlignment="1">
      <alignment wrapText="1"/>
    </xf>
    <xf numFmtId="43" fontId="35" fillId="0" borderId="0" xfId="53" applyNumberFormat="1"/>
    <xf numFmtId="172" fontId="35" fillId="32" borderId="10" xfId="53" applyNumberFormat="1" applyFill="1" applyBorder="1"/>
    <xf numFmtId="43" fontId="35" fillId="31" borderId="10" xfId="53" applyNumberFormat="1" applyFill="1" applyBorder="1"/>
    <xf numFmtId="4" fontId="35" fillId="29" borderId="10" xfId="53" applyNumberFormat="1" applyFill="1" applyBorder="1"/>
    <xf numFmtId="43" fontId="97" fillId="29" borderId="10" xfId="50" applyFont="1" applyFill="1" applyBorder="1" applyProtection="1">
      <protection hidden="1"/>
    </xf>
    <xf numFmtId="10" fontId="98" fillId="29" borderId="10" xfId="51" applyNumberFormat="1" applyFont="1" applyFill="1" applyBorder="1" applyProtection="1">
      <protection hidden="1"/>
    </xf>
    <xf numFmtId="43" fontId="99" fillId="29" borderId="10" xfId="50" applyFont="1" applyFill="1" applyBorder="1" applyProtection="1">
      <protection hidden="1"/>
    </xf>
    <xf numFmtId="0" fontId="35" fillId="29" borderId="10" xfId="53" applyFill="1" applyBorder="1"/>
    <xf numFmtId="43" fontId="35" fillId="29" borderId="10" xfId="53" applyNumberFormat="1" applyFill="1" applyBorder="1"/>
    <xf numFmtId="1" fontId="35" fillId="0" borderId="10" xfId="53" applyNumberFormat="1" applyBorder="1"/>
    <xf numFmtId="43" fontId="35" fillId="32" borderId="18" xfId="53" applyNumberFormat="1" applyFill="1" applyBorder="1"/>
    <xf numFmtId="4" fontId="35" fillId="32" borderId="18" xfId="53" applyNumberFormat="1" applyFill="1" applyBorder="1"/>
    <xf numFmtId="43" fontId="99" fillId="32" borderId="19" xfId="50" applyFont="1" applyFill="1" applyBorder="1" applyProtection="1">
      <protection hidden="1"/>
    </xf>
    <xf numFmtId="0" fontId="35" fillId="32" borderId="24" xfId="53" applyFill="1" applyBorder="1" applyAlignment="1">
      <alignment horizontal="center"/>
    </xf>
    <xf numFmtId="0" fontId="35" fillId="32" borderId="23" xfId="53" applyFill="1" applyBorder="1" applyAlignment="1">
      <alignment horizontal="center"/>
    </xf>
    <xf numFmtId="0" fontId="35" fillId="0" borderId="18" xfId="53" applyBorder="1" applyAlignment="1">
      <alignment horizontal="center"/>
    </xf>
    <xf numFmtId="0" fontId="35" fillId="0" borderId="22" xfId="53" applyBorder="1" applyAlignment="1">
      <alignment horizontal="center"/>
    </xf>
    <xf numFmtId="0" fontId="35" fillId="32" borderId="10" xfId="53" applyFill="1" applyBorder="1" applyAlignment="1">
      <alignment horizontal="center"/>
    </xf>
    <xf numFmtId="0" fontId="35" fillId="32" borderId="10" xfId="53" applyFill="1" applyBorder="1"/>
    <xf numFmtId="0" fontId="35" fillId="0" borderId="10" xfId="53" applyBorder="1" applyAlignment="1">
      <alignment horizontal="center"/>
    </xf>
    <xf numFmtId="0" fontId="35" fillId="0" borderId="10" xfId="53" applyBorder="1"/>
    <xf numFmtId="0" fontId="35" fillId="29" borderId="17" xfId="53" applyFill="1" applyBorder="1"/>
    <xf numFmtId="0" fontId="35" fillId="29" borderId="16" xfId="53" applyFill="1" applyBorder="1"/>
    <xf numFmtId="0" fontId="35" fillId="29" borderId="15" xfId="53" applyFill="1" applyBorder="1"/>
    <xf numFmtId="2" fontId="35" fillId="0" borderId="0" xfId="53" applyNumberFormat="1"/>
    <xf numFmtId="172" fontId="35" fillId="0" borderId="10" xfId="53" applyNumberFormat="1" applyBorder="1"/>
    <xf numFmtId="0" fontId="35" fillId="0" borderId="19" xfId="53" applyBorder="1" applyAlignment="1">
      <alignment horizontal="center"/>
    </xf>
    <xf numFmtId="0" fontId="35" fillId="29" borderId="14" xfId="53" applyFill="1" applyBorder="1"/>
    <xf numFmtId="0" fontId="35" fillId="29" borderId="13" xfId="53" applyFill="1" applyBorder="1"/>
    <xf numFmtId="0" fontId="35" fillId="29" borderId="12" xfId="53" applyFill="1" applyBorder="1"/>
    <xf numFmtId="2" fontId="35" fillId="29" borderId="0" xfId="53" applyNumberFormat="1" applyFill="1"/>
    <xf numFmtId="0" fontId="35" fillId="29" borderId="0" xfId="53" applyFill="1" applyAlignment="1">
      <alignment vertical="center"/>
    </xf>
    <xf numFmtId="0" fontId="58" fillId="0" borderId="0" xfId="64" applyAlignment="1">
      <alignment vertical="center"/>
    </xf>
    <xf numFmtId="10" fontId="100" fillId="29" borderId="0" xfId="53" applyNumberFormat="1" applyFont="1" applyFill="1"/>
    <xf numFmtId="10" fontId="95" fillId="29" borderId="0" xfId="53" applyNumberFormat="1" applyFont="1" applyFill="1"/>
    <xf numFmtId="14" fontId="64" fillId="37" borderId="14" xfId="0" applyNumberFormat="1" applyFont="1" applyFill="1" applyBorder="1" applyAlignment="1" applyProtection="1">
      <alignment horizontal="center" vertical="center"/>
      <protection hidden="1"/>
    </xf>
    <xf numFmtId="14" fontId="48" fillId="24" borderId="43" xfId="0" applyNumberFormat="1" applyFont="1" applyFill="1" applyBorder="1" applyAlignment="1" applyProtection="1">
      <alignment vertical="center"/>
      <protection locked="0" hidden="1"/>
    </xf>
    <xf numFmtId="14" fontId="69" fillId="31" borderId="49" xfId="0" applyNumberFormat="1" applyFont="1" applyFill="1" applyBorder="1" applyAlignment="1" applyProtection="1">
      <alignment horizontal="center" vertical="center"/>
      <protection locked="0" hidden="1"/>
    </xf>
    <xf numFmtId="166" fontId="39" fillId="24" borderId="40" xfId="0" applyNumberFormat="1" applyFont="1" applyFill="1" applyBorder="1" applyAlignment="1" applyProtection="1">
      <alignment vertical="center"/>
      <protection locked="0" hidden="1"/>
    </xf>
    <xf numFmtId="14" fontId="69" fillId="31" borderId="32" xfId="0" applyNumberFormat="1" applyFont="1" applyFill="1" applyBorder="1" applyAlignment="1" applyProtection="1">
      <alignment horizontal="center" vertical="center"/>
      <protection locked="0" hidden="1"/>
    </xf>
    <xf numFmtId="14" fontId="69" fillId="31" borderId="37" xfId="0" applyNumberFormat="1" applyFont="1" applyFill="1" applyBorder="1" applyAlignment="1" applyProtection="1">
      <alignment horizontal="center" vertical="center"/>
      <protection locked="0" hidden="1"/>
    </xf>
    <xf numFmtId="0" fontId="35" fillId="0" borderId="43" xfId="0" applyFont="1" applyBorder="1" applyAlignment="1" applyProtection="1">
      <alignment horizontal="center" vertical="center"/>
      <protection hidden="1"/>
    </xf>
    <xf numFmtId="0" fontId="35" fillId="0" borderId="49" xfId="0" applyFont="1" applyBorder="1" applyAlignment="1" applyProtection="1">
      <alignment horizontal="center" vertical="center"/>
      <protection hidden="1"/>
    </xf>
    <xf numFmtId="0" fontId="50" fillId="0" borderId="0" xfId="0" applyFont="1" applyAlignment="1" applyProtection="1">
      <alignment vertical="center"/>
      <protection hidden="1"/>
    </xf>
    <xf numFmtId="0" fontId="50" fillId="31" borderId="43" xfId="0" applyFont="1" applyFill="1" applyBorder="1" applyAlignment="1" applyProtection="1">
      <alignment horizontal="center" vertical="center"/>
      <protection hidden="1"/>
    </xf>
    <xf numFmtId="0" fontId="50" fillId="31" borderId="40" xfId="0" applyFont="1" applyFill="1" applyBorder="1" applyAlignment="1" applyProtection="1">
      <alignment horizontal="center" vertical="center"/>
      <protection hidden="1"/>
    </xf>
    <xf numFmtId="0" fontId="16" fillId="33" borderId="21" xfId="0" applyFont="1" applyFill="1" applyBorder="1" applyAlignment="1" applyProtection="1">
      <alignment horizontal="center" vertical="center"/>
      <protection hidden="1"/>
    </xf>
    <xf numFmtId="4" fontId="16" fillId="31" borderId="49" xfId="0" applyNumberFormat="1" applyFont="1" applyFill="1" applyBorder="1" applyAlignment="1" applyProtection="1">
      <alignment horizontal="center" vertical="center"/>
      <protection hidden="1"/>
    </xf>
    <xf numFmtId="4" fontId="16" fillId="31" borderId="32" xfId="0" applyNumberFormat="1" applyFont="1" applyFill="1" applyBorder="1" applyAlignment="1" applyProtection="1">
      <alignment horizontal="center" vertical="center"/>
      <protection hidden="1"/>
    </xf>
    <xf numFmtId="4" fontId="16" fillId="31" borderId="37" xfId="0" applyNumberFormat="1" applyFont="1" applyFill="1" applyBorder="1" applyAlignment="1" applyProtection="1">
      <alignment horizontal="center" vertical="center"/>
      <protection hidden="1"/>
    </xf>
    <xf numFmtId="0" fontId="0" fillId="0" borderId="0" xfId="0" applyAlignment="1" applyProtection="1">
      <alignment vertical="center"/>
      <protection hidden="1"/>
    </xf>
    <xf numFmtId="0" fontId="35" fillId="0" borderId="0" xfId="0" applyFont="1" applyAlignment="1" applyProtection="1">
      <alignment vertical="center"/>
      <protection hidden="1"/>
    </xf>
    <xf numFmtId="0" fontId="16" fillId="31" borderId="19" xfId="0" applyFont="1" applyFill="1" applyBorder="1" applyAlignment="1" applyProtection="1">
      <alignment horizontal="center" vertical="center"/>
      <protection locked="0"/>
    </xf>
    <xf numFmtId="0" fontId="0" fillId="29" borderId="0" xfId="0" applyFill="1" applyAlignment="1">
      <alignment vertical="center"/>
    </xf>
    <xf numFmtId="0" fontId="0" fillId="35" borderId="0" xfId="0" applyFill="1" applyAlignment="1">
      <alignment vertical="center"/>
    </xf>
    <xf numFmtId="0" fontId="0" fillId="29" borderId="28" xfId="0" applyFill="1" applyBorder="1" applyAlignment="1">
      <alignment vertical="center"/>
    </xf>
    <xf numFmtId="0" fontId="0" fillId="29" borderId="0" xfId="0" applyFill="1" applyAlignment="1">
      <alignment horizontal="center" vertical="center"/>
    </xf>
    <xf numFmtId="0" fontId="0" fillId="29" borderId="53" xfId="0" applyFill="1" applyBorder="1" applyAlignment="1">
      <alignment horizontal="center" vertical="center"/>
    </xf>
    <xf numFmtId="0" fontId="61" fillId="29" borderId="0" xfId="0" applyFont="1" applyFill="1" applyAlignment="1">
      <alignment vertical="center"/>
    </xf>
    <xf numFmtId="0" fontId="62" fillId="29" borderId="28" xfId="0" applyFont="1" applyFill="1" applyBorder="1" applyAlignment="1">
      <alignment vertical="center"/>
    </xf>
    <xf numFmtId="0" fontId="0" fillId="29" borderId="53" xfId="0" applyFill="1" applyBorder="1" applyAlignment="1">
      <alignment vertical="center"/>
    </xf>
    <xf numFmtId="0" fontId="0" fillId="29" borderId="10" xfId="0" applyFill="1" applyBorder="1" applyAlignment="1" applyProtection="1">
      <alignment vertical="center"/>
      <protection locked="0"/>
    </xf>
    <xf numFmtId="0" fontId="35" fillId="29" borderId="28" xfId="0" applyFont="1" applyFill="1" applyBorder="1" applyAlignment="1" applyProtection="1">
      <alignment vertical="center"/>
      <protection locked="0"/>
    </xf>
    <xf numFmtId="0" fontId="0" fillId="29" borderId="0" xfId="0" applyFill="1" applyAlignment="1" applyProtection="1">
      <alignment vertical="center"/>
      <protection locked="0"/>
    </xf>
    <xf numFmtId="0" fontId="0" fillId="29" borderId="53" xfId="0" applyFill="1" applyBorder="1" applyAlignment="1" applyProtection="1">
      <alignment vertical="center"/>
      <protection locked="0"/>
    </xf>
    <xf numFmtId="0" fontId="0" fillId="31" borderId="40" xfId="0" applyFill="1" applyBorder="1" applyAlignment="1">
      <alignment horizontal="center" vertical="center"/>
    </xf>
    <xf numFmtId="0" fontId="0" fillId="29" borderId="19" xfId="0" applyFill="1" applyBorder="1" applyAlignment="1">
      <alignment vertical="center"/>
    </xf>
    <xf numFmtId="0" fontId="0" fillId="29" borderId="27" xfId="0" applyFill="1" applyBorder="1" applyAlignment="1">
      <alignment vertical="center"/>
    </xf>
    <xf numFmtId="0" fontId="0" fillId="29" borderId="62" xfId="0" applyFill="1" applyBorder="1" applyAlignment="1">
      <alignment vertical="center"/>
    </xf>
    <xf numFmtId="0" fontId="50" fillId="29" borderId="0" xfId="0" applyFont="1" applyFill="1" applyAlignment="1">
      <alignment vertical="center"/>
    </xf>
    <xf numFmtId="0" fontId="50" fillId="29" borderId="0" xfId="0" applyFont="1" applyFill="1" applyAlignment="1">
      <alignment horizontal="right" vertical="center"/>
    </xf>
    <xf numFmtId="0" fontId="35" fillId="29" borderId="0" xfId="0" applyFont="1" applyFill="1" applyAlignment="1">
      <alignment horizontal="right" vertical="center"/>
    </xf>
    <xf numFmtId="10" fontId="0" fillId="0" borderId="0" xfId="0" applyNumberFormat="1" applyAlignment="1" applyProtection="1">
      <alignment vertical="center"/>
      <protection hidden="1"/>
    </xf>
    <xf numFmtId="0" fontId="0" fillId="0" borderId="28" xfId="0" applyBorder="1" applyAlignment="1" applyProtection="1">
      <alignment vertical="center"/>
      <protection hidden="1"/>
    </xf>
    <xf numFmtId="0" fontId="0" fillId="0" borderId="53" xfId="0" applyBorder="1" applyAlignment="1" applyProtection="1">
      <alignment vertical="center"/>
      <protection hidden="1"/>
    </xf>
    <xf numFmtId="0" fontId="0" fillId="0" borderId="61" xfId="0" applyBorder="1" applyAlignment="1" applyProtection="1">
      <alignment vertical="center"/>
      <protection hidden="1"/>
    </xf>
    <xf numFmtId="0" fontId="0" fillId="0" borderId="27" xfId="0" applyBorder="1" applyAlignment="1" applyProtection="1">
      <alignment vertical="center"/>
      <protection hidden="1"/>
    </xf>
    <xf numFmtId="0" fontId="0" fillId="0" borderId="62" xfId="0" applyBorder="1" applyAlignment="1" applyProtection="1">
      <alignment vertical="center"/>
      <protection hidden="1"/>
    </xf>
    <xf numFmtId="0" fontId="45" fillId="0" borderId="28" xfId="0" applyFont="1" applyBorder="1" applyAlignment="1" applyProtection="1">
      <alignment vertical="center"/>
      <protection hidden="1"/>
    </xf>
    <xf numFmtId="0" fontId="45" fillId="0" borderId="53" xfId="0" applyFont="1" applyBorder="1" applyAlignment="1" applyProtection="1">
      <alignment vertical="center"/>
      <protection hidden="1"/>
    </xf>
    <xf numFmtId="0" fontId="0" fillId="0" borderId="25" xfId="0" applyBorder="1" applyAlignment="1" applyProtection="1">
      <alignment vertical="center"/>
      <protection hidden="1"/>
    </xf>
    <xf numFmtId="0" fontId="54" fillId="0" borderId="0" xfId="0" applyFont="1" applyAlignment="1" applyProtection="1">
      <alignment vertical="center"/>
      <protection hidden="1"/>
    </xf>
    <xf numFmtId="0" fontId="83" fillId="0" borderId="26" xfId="0" applyFont="1" applyBorder="1" applyAlignment="1" applyProtection="1">
      <alignment vertical="center"/>
      <protection hidden="1"/>
    </xf>
    <xf numFmtId="0" fontId="0" fillId="0" borderId="26" xfId="0" applyBorder="1" applyAlignment="1" applyProtection="1">
      <alignment vertical="center"/>
      <protection hidden="1"/>
    </xf>
    <xf numFmtId="0" fontId="55" fillId="0" borderId="0" xfId="0" applyFont="1" applyAlignment="1" applyProtection="1">
      <alignment vertical="center"/>
      <protection hidden="1"/>
    </xf>
    <xf numFmtId="0" fontId="40" fillId="0" borderId="28" xfId="0" applyFont="1" applyBorder="1" applyAlignment="1" applyProtection="1">
      <alignment horizontal="center" vertical="center"/>
      <protection hidden="1"/>
    </xf>
    <xf numFmtId="0" fontId="42" fillId="0" borderId="0" xfId="0" applyFont="1" applyAlignment="1" applyProtection="1">
      <alignment vertical="center"/>
      <protection hidden="1"/>
    </xf>
    <xf numFmtId="0" fontId="42"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35" fillId="0" borderId="26" xfId="0" applyFont="1" applyBorder="1" applyAlignment="1" applyProtection="1">
      <alignment vertical="center"/>
      <protection hidden="1"/>
    </xf>
    <xf numFmtId="168" fontId="0" fillId="0" borderId="0" xfId="0" applyNumberFormat="1" applyAlignment="1" applyProtection="1">
      <alignment vertical="center"/>
      <protection hidden="1"/>
    </xf>
    <xf numFmtId="0" fontId="51" fillId="0" borderId="25" xfId="0" applyFont="1" applyBorder="1" applyAlignment="1" applyProtection="1">
      <alignment vertical="center"/>
      <protection hidden="1"/>
    </xf>
    <xf numFmtId="0" fontId="51" fillId="0" borderId="0" xfId="0" applyFont="1" applyAlignment="1" applyProtection="1">
      <alignment vertical="center"/>
      <protection hidden="1"/>
    </xf>
    <xf numFmtId="0" fontId="0" fillId="0" borderId="19" xfId="0" applyBorder="1" applyAlignment="1" applyProtection="1">
      <alignment vertical="center"/>
      <protection hidden="1"/>
    </xf>
    <xf numFmtId="168" fontId="0" fillId="0" borderId="27" xfId="0" applyNumberFormat="1" applyBorder="1" applyAlignment="1" applyProtection="1">
      <alignment vertical="center"/>
      <protection hidden="1"/>
    </xf>
    <xf numFmtId="0" fontId="0" fillId="0" borderId="22" xfId="0" applyBorder="1" applyAlignment="1" applyProtection="1">
      <alignment vertical="center"/>
      <protection hidden="1"/>
    </xf>
    <xf numFmtId="1" fontId="35" fillId="29" borderId="39" xfId="0" applyNumberFormat="1" applyFont="1" applyFill="1" applyBorder="1" applyAlignment="1" applyProtection="1">
      <alignment horizontal="center" vertical="center"/>
      <protection locked="0"/>
    </xf>
    <xf numFmtId="0" fontId="16" fillId="31" borderId="38" xfId="0" applyFont="1" applyFill="1" applyBorder="1" applyAlignment="1" applyProtection="1">
      <alignment horizontal="center" vertical="center"/>
      <protection locked="0"/>
    </xf>
    <xf numFmtId="4" fontId="16" fillId="29" borderId="39" xfId="0" applyNumberFormat="1" applyFont="1" applyFill="1" applyBorder="1" applyAlignment="1" applyProtection="1">
      <alignment horizontal="center" vertical="center"/>
      <protection locked="0"/>
    </xf>
    <xf numFmtId="4" fontId="16" fillId="29" borderId="36" xfId="0" applyNumberFormat="1" applyFont="1" applyFill="1" applyBorder="1" applyAlignment="1" applyProtection="1">
      <alignment horizontal="center" vertical="center"/>
      <protection locked="0"/>
    </xf>
    <xf numFmtId="1" fontId="16" fillId="29" borderId="39" xfId="0" applyNumberFormat="1" applyFont="1" applyFill="1" applyBorder="1" applyAlignment="1" applyProtection="1">
      <alignment horizontal="center" vertical="center"/>
      <protection locked="0"/>
    </xf>
    <xf numFmtId="0" fontId="42" fillId="31" borderId="21" xfId="52" applyFont="1" applyFill="1" applyBorder="1" applyAlignment="1" applyProtection="1">
      <alignment horizontal="center" vertical="center"/>
      <protection hidden="1"/>
    </xf>
    <xf numFmtId="2" fontId="38" fillId="31" borderId="21" xfId="52" applyNumberFormat="1" applyFont="1" applyFill="1" applyBorder="1" applyAlignment="1" applyProtection="1">
      <alignment horizontal="center" vertical="center"/>
      <protection hidden="1"/>
    </xf>
    <xf numFmtId="0" fontId="46" fillId="31" borderId="13" xfId="52" applyFont="1" applyFill="1" applyBorder="1" applyAlignment="1" applyProtection="1">
      <alignment horizontal="center" vertical="center"/>
      <protection hidden="1"/>
    </xf>
    <xf numFmtId="17" fontId="46" fillId="31" borderId="21" xfId="52" applyNumberFormat="1" applyFont="1" applyFill="1" applyBorder="1" applyAlignment="1" applyProtection="1">
      <alignment horizontal="center" vertical="center"/>
      <protection hidden="1"/>
    </xf>
    <xf numFmtId="0" fontId="35" fillId="0" borderId="28" xfId="59" applyBorder="1" applyAlignment="1" applyProtection="1">
      <alignment vertical="center"/>
      <protection hidden="1"/>
    </xf>
    <xf numFmtId="0" fontId="35" fillId="0" borderId="28" xfId="52" applyBorder="1" applyAlignment="1" applyProtection="1">
      <alignment vertical="center"/>
      <protection hidden="1"/>
    </xf>
    <xf numFmtId="0" fontId="35" fillId="0" borderId="0" xfId="52" applyAlignment="1" applyProtection="1">
      <alignment vertical="center"/>
      <protection hidden="1"/>
    </xf>
    <xf numFmtId="0" fontId="35" fillId="0" borderId="0" xfId="52" applyAlignment="1" applyProtection="1">
      <alignment horizontal="center" vertical="center"/>
      <protection hidden="1"/>
    </xf>
    <xf numFmtId="0" fontId="35" fillId="0" borderId="53" xfId="52" applyBorder="1" applyAlignment="1" applyProtection="1">
      <alignment vertical="center"/>
      <protection hidden="1"/>
    </xf>
    <xf numFmtId="0" fontId="26" fillId="36" borderId="49" xfId="52" applyFont="1" applyFill="1" applyBorder="1" applyAlignment="1" applyProtection="1">
      <alignment horizontal="center" vertical="center"/>
      <protection hidden="1"/>
    </xf>
    <xf numFmtId="0" fontId="35" fillId="36" borderId="51" xfId="52" applyFill="1" applyBorder="1" applyAlignment="1" applyProtection="1">
      <alignment horizontal="center" vertical="center"/>
      <protection hidden="1"/>
    </xf>
    <xf numFmtId="0" fontId="26" fillId="36" borderId="62" xfId="52" applyFont="1" applyFill="1" applyBorder="1" applyAlignment="1" applyProtection="1">
      <alignment horizontal="center" vertical="center"/>
      <protection hidden="1"/>
    </xf>
    <xf numFmtId="14" fontId="26" fillId="36" borderId="32" xfId="52" applyNumberFormat="1" applyFont="1" applyFill="1" applyBorder="1" applyAlignment="1" applyProtection="1">
      <alignment horizontal="center" vertical="center"/>
      <protection hidden="1"/>
    </xf>
    <xf numFmtId="0" fontId="35" fillId="36" borderId="32" xfId="52" applyFill="1" applyBorder="1" applyAlignment="1" applyProtection="1">
      <alignment horizontal="center" vertical="center"/>
      <protection hidden="1"/>
    </xf>
    <xf numFmtId="0" fontId="35" fillId="36" borderId="52" xfId="52" applyFill="1" applyBorder="1" applyAlignment="1">
      <alignment horizontal="center" vertical="center"/>
    </xf>
    <xf numFmtId="0" fontId="26" fillId="36" borderId="67" xfId="52" applyFont="1" applyFill="1" applyBorder="1" applyAlignment="1">
      <alignment horizontal="center" vertical="center"/>
    </xf>
    <xf numFmtId="14" fontId="26" fillId="29" borderId="37" xfId="52" applyNumberFormat="1" applyFont="1" applyFill="1" applyBorder="1" applyAlignment="1">
      <alignment horizontal="center" vertical="center"/>
    </xf>
    <xf numFmtId="0" fontId="35" fillId="0" borderId="28" xfId="59" applyBorder="1" applyAlignment="1">
      <alignment vertical="center"/>
    </xf>
    <xf numFmtId="0" fontId="35" fillId="0" borderId="28" xfId="52" applyBorder="1" applyAlignment="1">
      <alignment vertical="center"/>
    </xf>
    <xf numFmtId="0" fontId="35" fillId="0" borderId="0" xfId="52" applyAlignment="1">
      <alignment vertical="center"/>
    </xf>
    <xf numFmtId="0" fontId="35" fillId="0" borderId="53" xfId="52" applyBorder="1" applyAlignment="1">
      <alignment vertical="center"/>
    </xf>
    <xf numFmtId="0" fontId="26" fillId="36" borderId="46" xfId="52" applyFont="1" applyFill="1" applyBorder="1" applyAlignment="1" applyProtection="1">
      <alignment horizontal="center" vertical="center"/>
      <protection hidden="1"/>
    </xf>
    <xf numFmtId="0" fontId="26" fillId="36" borderId="47" xfId="52" applyFont="1" applyFill="1" applyBorder="1" applyAlignment="1" applyProtection="1">
      <alignment horizontal="center" vertical="center"/>
      <protection hidden="1"/>
    </xf>
    <xf numFmtId="0" fontId="35" fillId="36" borderId="40" xfId="52" applyFill="1" applyBorder="1" applyAlignment="1" applyProtection="1">
      <alignment horizontal="center" vertical="center"/>
      <protection hidden="1"/>
    </xf>
    <xf numFmtId="0" fontId="50" fillId="41" borderId="40" xfId="52" applyFont="1" applyFill="1" applyBorder="1" applyAlignment="1" applyProtection="1">
      <alignment vertical="center"/>
      <protection hidden="1"/>
    </xf>
    <xf numFmtId="4" fontId="26" fillId="41" borderId="10" xfId="52" applyNumberFormat="1" applyFont="1" applyFill="1" applyBorder="1" applyAlignment="1" applyProtection="1">
      <alignment vertical="center"/>
      <protection hidden="1"/>
    </xf>
    <xf numFmtId="4" fontId="26" fillId="41" borderId="32" xfId="52" applyNumberFormat="1" applyFont="1" applyFill="1" applyBorder="1" applyAlignment="1" applyProtection="1">
      <alignment vertical="center"/>
      <protection hidden="1"/>
    </xf>
    <xf numFmtId="0" fontId="16" fillId="36" borderId="40" xfId="52" applyFont="1" applyFill="1" applyBorder="1" applyAlignment="1" applyProtection="1">
      <alignment horizontal="center" vertical="center"/>
      <protection hidden="1"/>
    </xf>
    <xf numFmtId="0" fontId="35" fillId="36" borderId="41" xfId="52" applyFill="1" applyBorder="1" applyAlignment="1" applyProtection="1">
      <alignment horizontal="center" vertical="center"/>
      <protection hidden="1"/>
    </xf>
    <xf numFmtId="0" fontId="26" fillId="36" borderId="44" xfId="52" applyFont="1" applyFill="1" applyBorder="1" applyAlignment="1">
      <alignment horizontal="center" vertical="center"/>
    </xf>
    <xf numFmtId="0" fontId="26" fillId="36" borderId="69" xfId="52" applyFont="1" applyFill="1" applyBorder="1" applyAlignment="1">
      <alignment horizontal="center" vertical="center"/>
    </xf>
    <xf numFmtId="0" fontId="16" fillId="36" borderId="43" xfId="52" applyFont="1" applyFill="1" applyBorder="1" applyAlignment="1" applyProtection="1">
      <alignment horizontal="center" vertical="center"/>
      <protection locked="0" hidden="1"/>
    </xf>
    <xf numFmtId="0" fontId="50" fillId="29" borderId="43" xfId="52" applyFont="1" applyFill="1" applyBorder="1" applyAlignment="1" applyProtection="1">
      <alignment vertical="center"/>
      <protection locked="0" hidden="1"/>
    </xf>
    <xf numFmtId="4" fontId="26" fillId="0" borderId="35" xfId="52" applyNumberFormat="1" applyFont="1" applyBorder="1" applyAlignment="1" applyProtection="1">
      <alignment vertical="center"/>
      <protection locked="0" hidden="1"/>
    </xf>
    <xf numFmtId="0" fontId="26" fillId="0" borderId="35" xfId="52" applyFont="1" applyBorder="1" applyAlignment="1" applyProtection="1">
      <alignment vertical="center"/>
      <protection locked="0" hidden="1"/>
    </xf>
    <xf numFmtId="4" fontId="26" fillId="0" borderId="49" xfId="52" applyNumberFormat="1" applyFont="1" applyBorder="1" applyAlignment="1" applyProtection="1">
      <alignment vertical="center"/>
      <protection locked="0" hidden="1"/>
    </xf>
    <xf numFmtId="0" fontId="35" fillId="36" borderId="40" xfId="52" applyFill="1" applyBorder="1" applyAlignment="1" applyProtection="1">
      <alignment horizontal="center" vertical="center"/>
      <protection locked="0" hidden="1"/>
    </xf>
    <xf numFmtId="0" fontId="50" fillId="29" borderId="40" xfId="52" applyFont="1" applyFill="1" applyBorder="1" applyAlignment="1" applyProtection="1">
      <alignment vertical="center"/>
      <protection locked="0" hidden="1"/>
    </xf>
    <xf numFmtId="4" fontId="26" fillId="0" borderId="18" xfId="52" applyNumberFormat="1" applyFont="1" applyBorder="1" applyAlignment="1" applyProtection="1">
      <alignment vertical="center"/>
      <protection locked="0" hidden="1"/>
    </xf>
    <xf numFmtId="4" fontId="26" fillId="29" borderId="10" xfId="52" applyNumberFormat="1" applyFont="1" applyFill="1" applyBorder="1" applyAlignment="1" applyProtection="1">
      <alignment vertical="center"/>
      <protection locked="0" hidden="1"/>
    </xf>
    <xf numFmtId="4" fontId="26" fillId="0" borderId="54" xfId="52" applyNumberFormat="1" applyFont="1" applyBorder="1" applyAlignment="1" applyProtection="1">
      <alignment vertical="center"/>
      <protection locked="0" hidden="1"/>
    </xf>
    <xf numFmtId="0" fontId="50" fillId="0" borderId="40" xfId="54" applyFont="1" applyBorder="1" applyAlignment="1" applyProtection="1">
      <alignment vertical="center"/>
      <protection locked="0" hidden="1"/>
    </xf>
    <xf numFmtId="4" fontId="26" fillId="0" borderId="10" xfId="54" applyNumberFormat="1" applyFont="1" applyBorder="1" applyAlignment="1" applyProtection="1">
      <alignment vertical="center"/>
      <protection locked="0" hidden="1"/>
    </xf>
    <xf numFmtId="2" fontId="50" fillId="0" borderId="40" xfId="54" applyNumberFormat="1" applyFont="1" applyBorder="1" applyAlignment="1" applyProtection="1">
      <alignment vertical="center"/>
      <protection locked="0" hidden="1"/>
    </xf>
    <xf numFmtId="2" fontId="35" fillId="36" borderId="40" xfId="52" applyNumberFormat="1" applyFill="1" applyBorder="1" applyAlignment="1" applyProtection="1">
      <alignment horizontal="center" vertical="center"/>
      <protection locked="0" hidden="1"/>
    </xf>
    <xf numFmtId="4" fontId="26" fillId="0" borderId="32" xfId="54" applyNumberFormat="1" applyFont="1" applyBorder="1" applyAlignment="1" applyProtection="1">
      <alignment vertical="center"/>
      <protection locked="0" hidden="1"/>
    </xf>
    <xf numFmtId="10" fontId="35" fillId="36" borderId="40" xfId="52" applyNumberFormat="1" applyFill="1" applyBorder="1" applyAlignment="1" applyProtection="1">
      <alignment horizontal="center" vertical="center"/>
      <protection locked="0" hidden="1"/>
    </xf>
    <xf numFmtId="0" fontId="26" fillId="0" borderId="10" xfId="54" applyFont="1" applyBorder="1" applyAlignment="1" applyProtection="1">
      <alignment vertical="center"/>
      <protection locked="0" hidden="1"/>
    </xf>
    <xf numFmtId="14" fontId="50" fillId="0" borderId="40" xfId="54" applyNumberFormat="1" applyFont="1" applyBorder="1" applyAlignment="1" applyProtection="1">
      <alignment vertical="center"/>
      <protection locked="0" hidden="1"/>
    </xf>
    <xf numFmtId="0" fontId="50" fillId="0" borderId="0" xfId="59" applyFont="1" applyAlignment="1">
      <alignment vertical="center"/>
    </xf>
    <xf numFmtId="0" fontId="26" fillId="0" borderId="0" xfId="59" applyFont="1" applyAlignment="1">
      <alignment vertical="center"/>
    </xf>
    <xf numFmtId="0" fontId="0" fillId="0" borderId="0" xfId="0" applyAlignment="1">
      <alignment horizontal="center" vertical="center"/>
    </xf>
    <xf numFmtId="17" fontId="46" fillId="31" borderId="21" xfId="0" applyNumberFormat="1" applyFont="1" applyFill="1" applyBorder="1" applyAlignment="1">
      <alignment horizontal="center" vertical="center"/>
    </xf>
    <xf numFmtId="0" fontId="26" fillId="30" borderId="10" xfId="0" applyFont="1" applyFill="1" applyBorder="1" applyAlignment="1">
      <alignment horizontal="center" vertical="center"/>
    </xf>
    <xf numFmtId="0" fontId="26" fillId="30" borderId="11" xfId="0" applyFont="1" applyFill="1" applyBorder="1" applyAlignment="1">
      <alignment horizontal="center" vertical="center"/>
    </xf>
    <xf numFmtId="0" fontId="50" fillId="0" borderId="0" xfId="0" applyFont="1" applyAlignment="1">
      <alignment horizontal="center" vertical="center"/>
    </xf>
    <xf numFmtId="14" fontId="26" fillId="0" borderId="10" xfId="0" applyNumberFormat="1" applyFont="1" applyBorder="1" applyAlignment="1" applyProtection="1">
      <alignment horizontal="center" vertical="center"/>
      <protection locked="0"/>
    </xf>
    <xf numFmtId="10" fontId="26" fillId="0" borderId="10" xfId="0" applyNumberFormat="1" applyFont="1" applyBorder="1" applyAlignment="1" applyProtection="1">
      <alignment vertical="center"/>
      <protection locked="0"/>
    </xf>
    <xf numFmtId="10" fontId="26" fillId="0" borderId="10" xfId="0" applyNumberFormat="1" applyFont="1" applyBorder="1" applyAlignment="1" applyProtection="1">
      <alignment horizontal="center" vertical="center"/>
      <protection locked="0"/>
    </xf>
    <xf numFmtId="4" fontId="26" fillId="0" borderId="10" xfId="0" applyNumberFormat="1" applyFont="1" applyBorder="1" applyAlignment="1" applyProtection="1">
      <alignment vertical="center"/>
      <protection locked="0"/>
    </xf>
    <xf numFmtId="167" fontId="0" fillId="0" borderId="0" xfId="0" applyNumberFormat="1" applyAlignment="1">
      <alignment vertical="center"/>
    </xf>
    <xf numFmtId="0" fontId="26" fillId="0" borderId="10" xfId="0" applyFont="1" applyBorder="1" applyAlignment="1" applyProtection="1">
      <alignment vertical="center"/>
      <protection locked="0"/>
    </xf>
    <xf numFmtId="9" fontId="26" fillId="0" borderId="10" xfId="0" applyNumberFormat="1" applyFont="1" applyBorder="1" applyAlignment="1" applyProtection="1">
      <alignment vertical="center"/>
      <protection locked="0"/>
    </xf>
    <xf numFmtId="9" fontId="26" fillId="0" borderId="10" xfId="0" applyNumberFormat="1" applyFont="1" applyBorder="1" applyAlignment="1" applyProtection="1">
      <alignment horizontal="center" vertical="center"/>
      <protection locked="0"/>
    </xf>
    <xf numFmtId="0" fontId="26" fillId="0" borderId="10" xfId="0" applyFont="1" applyBorder="1" applyAlignment="1" applyProtection="1">
      <alignment horizontal="right" vertical="center"/>
      <protection locked="0"/>
    </xf>
    <xf numFmtId="0" fontId="26" fillId="0" borderId="10" xfId="0" applyFont="1" applyBorder="1" applyAlignment="1" applyProtection="1">
      <alignment horizontal="center" vertical="center"/>
      <protection locked="0"/>
    </xf>
    <xf numFmtId="49" fontId="26" fillId="0" borderId="10" xfId="0" applyNumberFormat="1" applyFont="1" applyBorder="1" applyAlignment="1" applyProtection="1">
      <alignment vertical="center"/>
      <protection locked="0"/>
    </xf>
    <xf numFmtId="49" fontId="26" fillId="0" borderId="10" xfId="0" applyNumberFormat="1" applyFont="1" applyBorder="1" applyAlignment="1" applyProtection="1">
      <alignment horizontal="center" vertical="center"/>
      <protection locked="0"/>
    </xf>
    <xf numFmtId="0" fontId="26" fillId="33" borderId="10" xfId="0" applyFont="1" applyFill="1" applyBorder="1" applyAlignment="1">
      <alignment horizontal="center" vertical="center"/>
    </xf>
    <xf numFmtId="4" fontId="26" fillId="33" borderId="10" xfId="0" applyNumberFormat="1" applyFont="1" applyFill="1" applyBorder="1" applyAlignment="1">
      <alignment vertical="center"/>
    </xf>
    <xf numFmtId="0" fontId="26" fillId="0" borderId="10" xfId="0" applyFont="1" applyBorder="1" applyAlignment="1">
      <alignment horizontal="center" vertical="center"/>
    </xf>
    <xf numFmtId="0" fontId="26" fillId="0" borderId="10" xfId="0" applyFont="1" applyBorder="1" applyAlignment="1">
      <alignment vertical="center"/>
    </xf>
    <xf numFmtId="10" fontId="26" fillId="33" borderId="20" xfId="0" applyNumberFormat="1" applyFont="1" applyFill="1" applyBorder="1" applyAlignment="1">
      <alignment horizontal="center" vertical="center"/>
    </xf>
    <xf numFmtId="0" fontId="26" fillId="0" borderId="0" xfId="0" applyFont="1" applyAlignment="1">
      <alignment vertical="center"/>
    </xf>
    <xf numFmtId="0" fontId="26" fillId="0" borderId="0" xfId="0" applyFont="1" applyAlignment="1">
      <alignment horizontal="center" vertical="center"/>
    </xf>
    <xf numFmtId="0" fontId="26" fillId="0" borderId="0" xfId="0" applyFont="1" applyAlignment="1">
      <alignment horizontal="right" vertical="center"/>
    </xf>
    <xf numFmtId="0" fontId="16" fillId="29" borderId="72" xfId="0" applyFont="1" applyFill="1" applyBorder="1" applyAlignment="1" applyProtection="1">
      <alignment vertical="center"/>
      <protection hidden="1"/>
    </xf>
    <xf numFmtId="0" fontId="16" fillId="29" borderId="71" xfId="0" applyFont="1" applyFill="1" applyBorder="1" applyAlignment="1" applyProtection="1">
      <alignment vertical="center"/>
      <protection hidden="1"/>
    </xf>
    <xf numFmtId="0" fontId="35" fillId="0" borderId="53" xfId="59" applyBorder="1" applyAlignment="1">
      <alignment vertical="center"/>
    </xf>
    <xf numFmtId="0" fontId="26" fillId="31" borderId="21" xfId="59" applyFont="1" applyFill="1" applyBorder="1" applyAlignment="1">
      <alignment horizontal="center" vertical="center"/>
    </xf>
    <xf numFmtId="0" fontId="26" fillId="31" borderId="31" xfId="59" applyFont="1" applyFill="1" applyBorder="1" applyAlignment="1">
      <alignment horizontal="center" vertical="center"/>
    </xf>
    <xf numFmtId="171" fontId="26" fillId="31" borderId="14" xfId="59" applyNumberFormat="1" applyFont="1" applyFill="1" applyBorder="1" applyAlignment="1">
      <alignment horizontal="center" vertical="center"/>
    </xf>
    <xf numFmtId="0" fontId="26" fillId="31" borderId="12" xfId="59" applyFont="1" applyFill="1" applyBorder="1" applyAlignment="1" applyProtection="1">
      <alignment horizontal="center" vertical="center"/>
      <protection locked="0"/>
    </xf>
    <xf numFmtId="14" fontId="26" fillId="31" borderId="14" xfId="59" applyNumberFormat="1" applyFont="1" applyFill="1" applyBorder="1" applyAlignment="1" applyProtection="1">
      <alignment horizontal="center" vertical="center"/>
      <protection locked="0"/>
    </xf>
    <xf numFmtId="0" fontId="26" fillId="36" borderId="40" xfId="59" applyFont="1" applyFill="1" applyBorder="1" applyAlignment="1">
      <alignment horizontal="center" vertical="center"/>
    </xf>
    <xf numFmtId="0" fontId="26" fillId="36" borderId="10" xfId="59" applyFont="1" applyFill="1" applyBorder="1" applyAlignment="1">
      <alignment horizontal="center" vertical="center"/>
    </xf>
    <xf numFmtId="0" fontId="26" fillId="36" borderId="32" xfId="59" applyFont="1" applyFill="1" applyBorder="1" applyAlignment="1">
      <alignment horizontal="center" vertical="center"/>
    </xf>
    <xf numFmtId="0" fontId="26" fillId="0" borderId="40" xfId="59" applyFont="1" applyBorder="1" applyAlignment="1" applyProtection="1">
      <alignment horizontal="center" vertical="center"/>
      <protection hidden="1"/>
    </xf>
    <xf numFmtId="4" fontId="26" fillId="0" borderId="10" xfId="59" applyNumberFormat="1" applyFont="1" applyBorder="1" applyAlignment="1" applyProtection="1">
      <alignment vertical="center"/>
      <protection hidden="1"/>
    </xf>
    <xf numFmtId="0" fontId="45" fillId="0" borderId="40" xfId="59" applyFont="1" applyBorder="1" applyAlignment="1">
      <alignment horizontal="center" vertical="center"/>
    </xf>
    <xf numFmtId="4" fontId="26" fillId="0" borderId="10" xfId="59" applyNumberFormat="1" applyFont="1" applyBorder="1" applyAlignment="1">
      <alignment vertical="center"/>
    </xf>
    <xf numFmtId="0" fontId="26" fillId="0" borderId="40" xfId="59" applyFont="1" applyBorder="1" applyAlignment="1">
      <alignment horizontal="center" vertical="center"/>
    </xf>
    <xf numFmtId="0" fontId="26" fillId="0" borderId="40" xfId="59" applyFont="1" applyBorder="1" applyAlignment="1" applyProtection="1">
      <alignment horizontal="center" vertical="center"/>
      <protection locked="0"/>
    </xf>
    <xf numFmtId="10" fontId="26" fillId="36" borderId="10" xfId="59" applyNumberFormat="1" applyFont="1" applyFill="1" applyBorder="1" applyAlignment="1">
      <alignment horizontal="center" vertical="center"/>
    </xf>
    <xf numFmtId="0" fontId="45" fillId="0" borderId="0" xfId="59" applyFont="1" applyAlignment="1">
      <alignment vertical="center"/>
    </xf>
    <xf numFmtId="0" fontId="26" fillId="0" borderId="28" xfId="59" applyFont="1" applyBorder="1" applyAlignment="1">
      <alignment vertical="center"/>
    </xf>
    <xf numFmtId="0" fontId="26" fillId="0" borderId="53" xfId="59" applyFont="1" applyBorder="1" applyAlignment="1">
      <alignment vertical="center"/>
    </xf>
    <xf numFmtId="0" fontId="42" fillId="0" borderId="0" xfId="59" applyFont="1" applyAlignment="1">
      <alignment horizontal="right" vertical="center"/>
    </xf>
    <xf numFmtId="14" fontId="42" fillId="0" borderId="53" xfId="59" applyNumberFormat="1" applyFont="1" applyBorder="1" applyAlignment="1">
      <alignment horizontal="center" vertical="center"/>
    </xf>
    <xf numFmtId="14" fontId="26" fillId="0" borderId="53" xfId="59" applyNumberFormat="1" applyFont="1" applyBorder="1" applyAlignment="1">
      <alignment horizontal="center" vertical="center"/>
    </xf>
    <xf numFmtId="22" fontId="35" fillId="0" borderId="0" xfId="59" applyNumberFormat="1" applyAlignment="1">
      <alignment vertical="center"/>
    </xf>
    <xf numFmtId="0" fontId="50" fillId="0" borderId="0" xfId="59" applyFont="1" applyAlignment="1">
      <alignment horizontal="right" vertical="center"/>
    </xf>
    <xf numFmtId="0" fontId="35" fillId="0" borderId="0" xfId="59" applyAlignment="1" applyProtection="1">
      <alignment vertical="center"/>
      <protection locked="0"/>
    </xf>
    <xf numFmtId="0" fontId="35" fillId="0" borderId="15" xfId="59" applyBorder="1" applyAlignment="1">
      <alignment horizontal="center" vertical="center"/>
    </xf>
    <xf numFmtId="0" fontId="35" fillId="0" borderId="28" xfId="59" applyBorder="1" applyAlignment="1">
      <alignment horizontal="center" vertical="center"/>
    </xf>
    <xf numFmtId="0" fontId="35" fillId="0" borderId="28" xfId="59" applyBorder="1" applyAlignment="1" applyProtection="1">
      <alignment vertical="center"/>
      <protection locked="0"/>
    </xf>
    <xf numFmtId="0" fontId="35" fillId="0" borderId="53" xfId="59" applyBorder="1" applyAlignment="1" applyProtection="1">
      <alignment vertical="center"/>
      <protection locked="0"/>
    </xf>
    <xf numFmtId="0" fontId="38" fillId="0" borderId="71" xfId="59" applyFont="1" applyBorder="1" applyAlignment="1">
      <alignment vertical="center"/>
    </xf>
    <xf numFmtId="0" fontId="16" fillId="0" borderId="55" xfId="59" applyFont="1" applyBorder="1" applyAlignment="1">
      <alignment vertical="center"/>
    </xf>
    <xf numFmtId="14" fontId="95" fillId="29" borderId="53" xfId="59" applyNumberFormat="1" applyFont="1" applyFill="1" applyBorder="1" applyAlignment="1">
      <alignment horizontal="center" vertical="center"/>
    </xf>
    <xf numFmtId="4" fontId="26" fillId="31" borderId="21" xfId="59" applyNumberFormat="1" applyFont="1" applyFill="1" applyBorder="1" applyAlignment="1">
      <alignment horizontal="center" vertical="center"/>
    </xf>
    <xf numFmtId="2" fontId="35" fillId="31" borderId="21" xfId="59" applyNumberFormat="1" applyFill="1" applyBorder="1" applyAlignment="1" applyProtection="1">
      <alignment horizontal="center" vertical="center"/>
      <protection hidden="1"/>
    </xf>
    <xf numFmtId="14" fontId="26" fillId="31" borderId="12" xfId="59" applyNumberFormat="1" applyFont="1" applyFill="1" applyBorder="1" applyAlignment="1">
      <alignment horizontal="center" vertical="center"/>
    </xf>
    <xf numFmtId="0" fontId="50" fillId="31" borderId="21" xfId="59" applyFont="1" applyFill="1" applyBorder="1" applyAlignment="1">
      <alignment horizontal="center" vertical="center"/>
    </xf>
    <xf numFmtId="2" fontId="26" fillId="31" borderId="21" xfId="59" applyNumberFormat="1" applyFont="1" applyFill="1" applyBorder="1" applyAlignment="1">
      <alignment horizontal="center" vertical="center"/>
    </xf>
    <xf numFmtId="0" fontId="35" fillId="0" borderId="40" xfId="59" applyBorder="1" applyAlignment="1" applyProtection="1">
      <alignment horizontal="center" vertical="center"/>
      <protection locked="0"/>
    </xf>
    <xf numFmtId="4" fontId="26" fillId="0" borderId="10" xfId="59" applyNumberFormat="1" applyFont="1" applyBorder="1" applyAlignment="1" applyProtection="1">
      <alignment vertical="center"/>
      <protection locked="0"/>
    </xf>
    <xf numFmtId="0" fontId="45" fillId="0" borderId="40" xfId="59" applyFont="1" applyBorder="1" applyAlignment="1" applyProtection="1">
      <alignment horizontal="center" vertical="center"/>
      <protection locked="0"/>
    </xf>
    <xf numFmtId="4" fontId="26" fillId="0" borderId="32" xfId="59" applyNumberFormat="1" applyFont="1" applyBorder="1" applyAlignment="1" applyProtection="1">
      <alignment vertical="center"/>
      <protection locked="0"/>
    </xf>
    <xf numFmtId="0" fontId="42" fillId="0" borderId="53" xfId="59" applyFont="1" applyBorder="1" applyAlignment="1">
      <alignment horizontal="right" vertical="center"/>
    </xf>
    <xf numFmtId="2" fontId="45" fillId="0" borderId="53" xfId="59" applyNumberFormat="1" applyFont="1" applyBorder="1" applyAlignment="1" applyProtection="1">
      <alignment vertical="center"/>
      <protection hidden="1"/>
    </xf>
    <xf numFmtId="0" fontId="35" fillId="0" borderId="0" xfId="59" applyAlignment="1">
      <alignment horizontal="right" vertical="center"/>
    </xf>
    <xf numFmtId="0" fontId="50" fillId="34" borderId="20" xfId="0" applyFont="1" applyFill="1" applyBorder="1" applyAlignment="1">
      <alignment horizontal="center" vertical="center"/>
    </xf>
    <xf numFmtId="0" fontId="50" fillId="34" borderId="10" xfId="0" applyFont="1" applyFill="1" applyBorder="1" applyAlignment="1">
      <alignment horizontal="center" vertical="center"/>
    </xf>
    <xf numFmtId="0" fontId="50" fillId="29" borderId="58" xfId="0" applyFont="1" applyFill="1" applyBorder="1" applyAlignment="1" applyProtection="1">
      <alignment horizontal="center" vertical="center"/>
      <protection hidden="1"/>
    </xf>
    <xf numFmtId="0" fontId="50" fillId="34" borderId="40" xfId="0" applyFont="1" applyFill="1" applyBorder="1" applyAlignment="1" applyProtection="1">
      <alignment horizontal="center" vertical="center"/>
      <protection hidden="1"/>
    </xf>
    <xf numFmtId="14" fontId="50" fillId="34" borderId="10" xfId="0" applyNumberFormat="1" applyFont="1" applyFill="1" applyBorder="1" applyAlignment="1">
      <alignment horizontal="center" vertical="center"/>
    </xf>
    <xf numFmtId="0" fontId="40" fillId="33" borderId="10" xfId="0" applyFont="1" applyFill="1" applyBorder="1" applyAlignment="1" applyProtection="1">
      <alignment horizontal="center" vertical="center"/>
      <protection locked="0"/>
    </xf>
    <xf numFmtId="0" fontId="50" fillId="0" borderId="15" xfId="0" applyFont="1" applyBorder="1" applyAlignment="1">
      <alignment vertical="center"/>
    </xf>
    <xf numFmtId="0" fontId="50" fillId="0" borderId="16" xfId="0" applyFont="1" applyBorder="1" applyAlignment="1">
      <alignment vertical="center"/>
    </xf>
    <xf numFmtId="0" fontId="50" fillId="0" borderId="17" xfId="0" applyFont="1" applyBorder="1" applyAlignment="1">
      <alignment vertical="center"/>
    </xf>
    <xf numFmtId="14" fontId="16" fillId="34" borderId="10" xfId="0" applyNumberFormat="1" applyFont="1" applyFill="1" applyBorder="1" applyAlignment="1">
      <alignment horizontal="center" vertical="center"/>
    </xf>
    <xf numFmtId="0" fontId="16" fillId="33" borderId="14" xfId="0" applyFont="1" applyFill="1" applyBorder="1" applyAlignment="1" applyProtection="1">
      <alignment vertical="center"/>
      <protection hidden="1"/>
    </xf>
    <xf numFmtId="4" fontId="16" fillId="31" borderId="30" xfId="0" applyNumberFormat="1" applyFont="1" applyFill="1" applyBorder="1" applyAlignment="1" applyProtection="1">
      <alignment horizontal="center" vertical="center"/>
      <protection hidden="1"/>
    </xf>
    <xf numFmtId="4" fontId="16" fillId="31" borderId="24" xfId="0" applyNumberFormat="1" applyFont="1" applyFill="1" applyBorder="1" applyAlignment="1" applyProtection="1">
      <alignment horizontal="center" vertical="center"/>
      <protection hidden="1"/>
    </xf>
    <xf numFmtId="4" fontId="16" fillId="31" borderId="18" xfId="0" applyNumberFormat="1" applyFont="1" applyFill="1" applyBorder="1" applyAlignment="1" applyProtection="1">
      <alignment horizontal="center" vertical="center"/>
      <protection hidden="1"/>
    </xf>
    <xf numFmtId="4" fontId="16" fillId="31" borderId="54" xfId="0" applyNumberFormat="1" applyFont="1" applyFill="1" applyBorder="1" applyAlignment="1" applyProtection="1">
      <alignment horizontal="center" vertical="center"/>
      <protection hidden="1"/>
    </xf>
    <xf numFmtId="4" fontId="16" fillId="31" borderId="22" xfId="0" applyNumberFormat="1" applyFont="1" applyFill="1" applyBorder="1" applyAlignment="1" applyProtection="1">
      <alignment vertical="center"/>
      <protection hidden="1"/>
    </xf>
    <xf numFmtId="4" fontId="16" fillId="31" borderId="29" xfId="0" applyNumberFormat="1" applyFont="1" applyFill="1" applyBorder="1" applyAlignment="1" applyProtection="1">
      <alignment vertical="center"/>
      <protection hidden="1"/>
    </xf>
    <xf numFmtId="4" fontId="16" fillId="31" borderId="67" xfId="0" applyNumberFormat="1" applyFont="1" applyFill="1" applyBorder="1" applyAlignment="1" applyProtection="1">
      <alignment vertical="center"/>
      <protection hidden="1"/>
    </xf>
    <xf numFmtId="0" fontId="50" fillId="31" borderId="41" xfId="0" applyFont="1" applyFill="1" applyBorder="1" applyAlignment="1">
      <alignment horizontal="center" vertical="center"/>
    </xf>
    <xf numFmtId="0" fontId="0" fillId="0" borderId="71" xfId="0" applyBorder="1" applyAlignment="1" applyProtection="1">
      <alignment vertical="center"/>
      <protection hidden="1"/>
    </xf>
    <xf numFmtId="0" fontId="16" fillId="0" borderId="55" xfId="0" applyFont="1" applyBorder="1" applyAlignment="1" applyProtection="1">
      <alignment vertical="center"/>
      <protection hidden="1"/>
    </xf>
    <xf numFmtId="10" fontId="26" fillId="36" borderId="71" xfId="54" applyNumberFormat="1" applyFont="1" applyFill="1" applyBorder="1" applyAlignment="1" applyProtection="1">
      <alignment horizontal="center" vertical="center"/>
      <protection hidden="1"/>
    </xf>
    <xf numFmtId="4" fontId="26" fillId="36" borderId="30" xfId="54" applyNumberFormat="1" applyFont="1" applyFill="1" applyBorder="1" applyAlignment="1" applyProtection="1">
      <alignment vertical="center"/>
      <protection hidden="1"/>
    </xf>
    <xf numFmtId="4" fontId="26" fillId="36" borderId="24" xfId="54" applyNumberFormat="1" applyFont="1" applyFill="1" applyBorder="1" applyAlignment="1" applyProtection="1">
      <alignment vertical="center"/>
      <protection hidden="1"/>
    </xf>
    <xf numFmtId="4" fontId="26" fillId="36" borderId="48" xfId="54" applyNumberFormat="1" applyFont="1" applyFill="1" applyBorder="1" applyAlignment="1" applyProtection="1">
      <alignment vertical="center"/>
      <protection hidden="1"/>
    </xf>
    <xf numFmtId="10" fontId="26" fillId="36" borderId="21" xfId="54" applyNumberFormat="1" applyFont="1" applyFill="1" applyBorder="1" applyAlignment="1" applyProtection="1">
      <alignment horizontal="center" vertical="center"/>
      <protection hidden="1"/>
    </xf>
    <xf numFmtId="14" fontId="50" fillId="29" borderId="29" xfId="0" applyNumberFormat="1" applyFont="1" applyFill="1" applyBorder="1" applyAlignment="1">
      <alignment horizontal="center" vertical="center"/>
    </xf>
    <xf numFmtId="14" fontId="50" fillId="29" borderId="58" xfId="0" applyNumberFormat="1" applyFont="1" applyFill="1" applyBorder="1" applyAlignment="1">
      <alignment horizontal="center" vertical="center"/>
    </xf>
    <xf numFmtId="0" fontId="50" fillId="29" borderId="10" xfId="0" applyFont="1" applyFill="1" applyBorder="1" applyAlignment="1" applyProtection="1">
      <alignment horizontal="center" vertical="center"/>
      <protection locked="0"/>
    </xf>
    <xf numFmtId="14" fontId="35" fillId="29" borderId="58" xfId="0" applyNumberFormat="1" applyFont="1" applyFill="1" applyBorder="1" applyAlignment="1">
      <alignment horizontal="center" vertical="center"/>
    </xf>
    <xf numFmtId="4" fontId="16" fillId="36" borderId="40" xfId="52" applyNumberFormat="1" applyFont="1" applyFill="1" applyBorder="1" applyAlignment="1" applyProtection="1">
      <alignment horizontal="center" vertical="center"/>
      <protection hidden="1"/>
    </xf>
    <xf numFmtId="0" fontId="50" fillId="29" borderId="40" xfId="52" applyFont="1" applyFill="1" applyBorder="1" applyAlignment="1" applyProtection="1">
      <alignment vertical="center"/>
      <protection hidden="1"/>
    </xf>
    <xf numFmtId="4" fontId="26" fillId="29" borderId="10" xfId="52" applyNumberFormat="1" applyFont="1" applyFill="1" applyBorder="1" applyAlignment="1" applyProtection="1">
      <alignment vertical="center"/>
      <protection hidden="1"/>
    </xf>
    <xf numFmtId="4" fontId="26" fillId="29" borderId="32" xfId="52" applyNumberFormat="1" applyFont="1" applyFill="1" applyBorder="1" applyAlignment="1" applyProtection="1">
      <alignment vertical="center"/>
      <protection hidden="1"/>
    </xf>
    <xf numFmtId="0" fontId="26" fillId="29" borderId="10" xfId="52" applyFont="1" applyFill="1" applyBorder="1" applyAlignment="1" applyProtection="1">
      <alignment vertical="center"/>
      <protection hidden="1"/>
    </xf>
    <xf numFmtId="0" fontId="50" fillId="29" borderId="41" xfId="52" applyFont="1" applyFill="1" applyBorder="1" applyAlignment="1" applyProtection="1">
      <alignment vertical="center"/>
      <protection hidden="1"/>
    </xf>
    <xf numFmtId="4" fontId="26" fillId="29" borderId="36" xfId="52" applyNumberFormat="1" applyFont="1" applyFill="1" applyBorder="1" applyAlignment="1" applyProtection="1">
      <alignment vertical="center"/>
      <protection hidden="1"/>
    </xf>
    <xf numFmtId="4" fontId="26" fillId="29" borderId="37" xfId="52" applyNumberFormat="1" applyFont="1" applyFill="1" applyBorder="1" applyAlignment="1" applyProtection="1">
      <alignment vertical="center"/>
      <protection hidden="1"/>
    </xf>
    <xf numFmtId="14" fontId="50" fillId="32" borderId="29" xfId="0" applyNumberFormat="1" applyFont="1" applyFill="1" applyBorder="1" applyAlignment="1" applyProtection="1">
      <alignment horizontal="center" vertical="center"/>
      <protection locked="0"/>
    </xf>
    <xf numFmtId="14" fontId="35" fillId="32" borderId="58" xfId="0" applyNumberFormat="1" applyFont="1" applyFill="1" applyBorder="1" applyAlignment="1" applyProtection="1">
      <alignment horizontal="center" vertical="center"/>
      <protection locked="0"/>
    </xf>
    <xf numFmtId="14" fontId="50" fillId="29" borderId="29" xfId="0" applyNumberFormat="1" applyFont="1" applyFill="1" applyBorder="1" applyAlignment="1" applyProtection="1">
      <alignment horizontal="center" vertical="center"/>
      <protection locked="0"/>
    </xf>
    <xf numFmtId="14" fontId="50" fillId="29" borderId="58" xfId="0" applyNumberFormat="1" applyFont="1" applyFill="1" applyBorder="1" applyAlignment="1" applyProtection="1">
      <alignment horizontal="center" vertical="center"/>
      <protection locked="0"/>
    </xf>
    <xf numFmtId="4" fontId="26" fillId="37" borderId="40" xfId="54" applyNumberFormat="1" applyFont="1" applyFill="1" applyBorder="1" applyAlignment="1" applyProtection="1">
      <alignment vertical="center"/>
      <protection hidden="1"/>
    </xf>
    <xf numFmtId="4" fontId="16" fillId="31" borderId="10" xfId="0" applyNumberFormat="1" applyFont="1" applyFill="1" applyBorder="1" applyAlignment="1" applyProtection="1">
      <alignment horizontal="center" vertical="center"/>
      <protection hidden="1"/>
    </xf>
    <xf numFmtId="4" fontId="16" fillId="31" borderId="35" xfId="0" applyNumberFormat="1" applyFont="1" applyFill="1" applyBorder="1" applyAlignment="1" applyProtection="1">
      <alignment horizontal="center" vertical="center"/>
      <protection hidden="1"/>
    </xf>
    <xf numFmtId="4" fontId="16" fillId="31" borderId="36" xfId="0" applyNumberFormat="1" applyFont="1" applyFill="1" applyBorder="1" applyAlignment="1" applyProtection="1">
      <alignment horizontal="center" vertical="center"/>
      <protection hidden="1"/>
    </xf>
    <xf numFmtId="174" fontId="35" fillId="32" borderId="32" xfId="0" applyNumberFormat="1" applyFont="1" applyFill="1" applyBorder="1" applyAlignment="1" applyProtection="1">
      <alignment horizontal="center" vertical="center"/>
      <protection locked="0"/>
    </xf>
    <xf numFmtId="174" fontId="35" fillId="29" borderId="32" xfId="0" applyNumberFormat="1" applyFont="1" applyFill="1" applyBorder="1" applyAlignment="1" applyProtection="1">
      <alignment horizontal="center" vertical="center"/>
      <protection locked="0"/>
    </xf>
    <xf numFmtId="0" fontId="50" fillId="34" borderId="45" xfId="0" applyFont="1" applyFill="1" applyBorder="1" applyAlignment="1">
      <alignment horizontal="center" vertical="center"/>
    </xf>
    <xf numFmtId="14" fontId="50" fillId="29" borderId="10" xfId="0" applyNumberFormat="1" applyFont="1" applyFill="1" applyBorder="1" applyAlignment="1" applyProtection="1">
      <alignment horizontal="center" vertical="center"/>
      <protection locked="0"/>
    </xf>
    <xf numFmtId="174" fontId="35" fillId="29" borderId="32" xfId="0" applyNumberFormat="1" applyFont="1" applyFill="1" applyBorder="1" applyAlignment="1">
      <alignment horizontal="center" vertical="center"/>
    </xf>
    <xf numFmtId="0" fontId="95" fillId="0" borderId="0" xfId="0" applyFont="1"/>
    <xf numFmtId="14" fontId="13" fillId="37" borderId="14" xfId="0" applyNumberFormat="1" applyFont="1" applyFill="1" applyBorder="1" applyAlignment="1" applyProtection="1">
      <alignment vertical="center"/>
      <protection hidden="1"/>
    </xf>
    <xf numFmtId="0" fontId="16" fillId="0" borderId="0" xfId="0" applyFont="1" applyAlignment="1" applyProtection="1">
      <alignment vertical="center"/>
      <protection hidden="1"/>
    </xf>
    <xf numFmtId="0" fontId="35" fillId="0" borderId="0" xfId="0" applyFont="1" applyAlignment="1" applyProtection="1">
      <alignment horizontal="right" vertical="center"/>
      <protection hidden="1"/>
    </xf>
    <xf numFmtId="0" fontId="50" fillId="0" borderId="15" xfId="0" applyFont="1" applyBorder="1" applyAlignment="1" applyProtection="1">
      <alignment vertical="center"/>
      <protection hidden="1"/>
    </xf>
    <xf numFmtId="0" fontId="50" fillId="0" borderId="16" xfId="0" applyFont="1" applyBorder="1" applyAlignment="1" applyProtection="1">
      <alignment vertical="center"/>
      <protection hidden="1"/>
    </xf>
    <xf numFmtId="0" fontId="50" fillId="0" borderId="17" xfId="0" applyFont="1" applyBorder="1" applyAlignment="1" applyProtection="1">
      <alignment vertical="center"/>
      <protection hidden="1"/>
    </xf>
    <xf numFmtId="0" fontId="0" fillId="0" borderId="72" xfId="0" applyBorder="1" applyAlignment="1" applyProtection="1">
      <alignment vertical="center"/>
      <protection hidden="1"/>
    </xf>
    <xf numFmtId="0" fontId="45" fillId="0" borderId="0" xfId="0" applyFont="1" applyAlignment="1" applyProtection="1">
      <alignment vertical="center"/>
      <protection hidden="1"/>
    </xf>
    <xf numFmtId="0" fontId="35" fillId="0" borderId="71" xfId="0" applyFont="1" applyBorder="1" applyAlignment="1" applyProtection="1">
      <alignment vertical="center"/>
      <protection hidden="1"/>
    </xf>
    <xf numFmtId="49" fontId="35" fillId="0" borderId="0" xfId="0" applyNumberFormat="1" applyFont="1" applyAlignment="1" applyProtection="1">
      <alignment vertical="center"/>
      <protection hidden="1"/>
    </xf>
    <xf numFmtId="0" fontId="45" fillId="0" borderId="72" xfId="0" applyFont="1" applyBorder="1" applyAlignment="1" applyProtection="1">
      <alignment vertical="center"/>
      <protection hidden="1"/>
    </xf>
    <xf numFmtId="0" fontId="45" fillId="0" borderId="71" xfId="0" applyFont="1" applyBorder="1" applyAlignment="1" applyProtection="1">
      <alignment vertical="center"/>
      <protection hidden="1"/>
    </xf>
    <xf numFmtId="0" fontId="50" fillId="32" borderId="35" xfId="0" applyFont="1" applyFill="1" applyBorder="1" applyAlignment="1" applyProtection="1">
      <alignment horizontal="center" vertical="center"/>
      <protection locked="0"/>
    </xf>
    <xf numFmtId="0" fontId="50" fillId="34" borderId="56" xfId="0" applyFont="1" applyFill="1" applyBorder="1" applyAlignment="1">
      <alignment horizontal="center" vertical="center"/>
    </xf>
    <xf numFmtId="0" fontId="16" fillId="31" borderId="35" xfId="0" applyFont="1" applyFill="1" applyBorder="1" applyAlignment="1" applyProtection="1">
      <alignment horizontal="center" vertical="center"/>
      <protection locked="0"/>
    </xf>
    <xf numFmtId="0" fontId="16" fillId="31" borderId="74" xfId="0" applyFont="1" applyFill="1" applyBorder="1" applyAlignment="1" applyProtection="1">
      <alignment vertical="center"/>
      <protection locked="0"/>
    </xf>
    <xf numFmtId="14" fontId="90" fillId="34" borderId="10" xfId="0" applyNumberFormat="1" applyFont="1" applyFill="1" applyBorder="1" applyAlignment="1">
      <alignment horizontal="center" vertical="center"/>
    </xf>
    <xf numFmtId="0" fontId="50" fillId="31" borderId="64" xfId="0" applyFont="1" applyFill="1" applyBorder="1" applyAlignment="1">
      <alignment horizontal="center" vertical="center"/>
    </xf>
    <xf numFmtId="0" fontId="50" fillId="31" borderId="68" xfId="0" applyFont="1" applyFill="1" applyBorder="1" applyAlignment="1" applyProtection="1">
      <alignment horizontal="center" vertical="center"/>
      <protection locked="0"/>
    </xf>
    <xf numFmtId="0" fontId="35" fillId="31" borderId="10" xfId="0" applyFont="1" applyFill="1" applyBorder="1" applyAlignment="1">
      <alignment horizontal="right" vertical="center"/>
    </xf>
    <xf numFmtId="0" fontId="90" fillId="31" borderId="19" xfId="0" applyFont="1" applyFill="1" applyBorder="1" applyAlignment="1" applyProtection="1">
      <alignment horizontal="center" vertical="center"/>
      <protection locked="0"/>
    </xf>
    <xf numFmtId="0" fontId="38" fillId="31" borderId="42" xfId="0" applyFont="1" applyFill="1" applyBorder="1" applyAlignment="1" applyProtection="1">
      <alignment horizontal="center" vertical="center"/>
      <protection locked="0"/>
    </xf>
    <xf numFmtId="0" fontId="115" fillId="47" borderId="35" xfId="30" applyFont="1" applyFill="1" applyBorder="1" applyAlignment="1" applyProtection="1">
      <alignment horizontal="center" vertical="center"/>
      <protection locked="0"/>
    </xf>
    <xf numFmtId="0" fontId="121" fillId="44" borderId="35" xfId="30" applyFont="1" applyFill="1" applyBorder="1" applyAlignment="1" applyProtection="1">
      <alignment horizontal="center" vertical="center"/>
      <protection locked="0"/>
    </xf>
    <xf numFmtId="173" fontId="16" fillId="0" borderId="35" xfId="68" applyNumberFormat="1" applyFont="1" applyBorder="1" applyAlignment="1" applyProtection="1">
      <alignment horizontal="center" vertical="center"/>
      <protection locked="0"/>
    </xf>
    <xf numFmtId="1" fontId="16" fillId="0" borderId="35" xfId="68" applyNumberFormat="1" applyFont="1" applyBorder="1" applyAlignment="1" applyProtection="1">
      <alignment horizontal="center" vertical="center"/>
      <protection locked="0"/>
    </xf>
    <xf numFmtId="0" fontId="50" fillId="0" borderId="0" xfId="68" applyFont="1" applyAlignment="1">
      <alignment vertical="center"/>
    </xf>
    <xf numFmtId="0" fontId="11" fillId="29" borderId="0" xfId="68" applyFont="1" applyFill="1" applyAlignment="1">
      <alignment horizontal="right" vertical="center"/>
    </xf>
    <xf numFmtId="0" fontId="16" fillId="0" borderId="43" xfId="68" applyFont="1" applyBorder="1" applyAlignment="1" applyProtection="1">
      <alignment horizontal="center" vertical="center"/>
      <protection locked="0"/>
    </xf>
    <xf numFmtId="0" fontId="102" fillId="42" borderId="12" xfId="69" applyFont="1" applyFill="1" applyBorder="1" applyAlignment="1">
      <alignment horizontal="center" vertical="center"/>
    </xf>
    <xf numFmtId="0" fontId="113" fillId="34" borderId="31" xfId="69" applyFont="1" applyFill="1" applyBorder="1" applyAlignment="1">
      <alignment horizontal="center" vertical="center"/>
    </xf>
    <xf numFmtId="0" fontId="113" fillId="34" borderId="30" xfId="69" applyFont="1" applyFill="1" applyBorder="1" applyAlignment="1">
      <alignment vertical="center"/>
    </xf>
    <xf numFmtId="0" fontId="118" fillId="44" borderId="43" xfId="69" applyFont="1" applyFill="1" applyBorder="1" applyAlignment="1" applyProtection="1">
      <alignment horizontal="center" vertical="center"/>
      <protection locked="0"/>
    </xf>
    <xf numFmtId="0" fontId="118" fillId="44" borderId="35" xfId="69" applyFont="1" applyFill="1" applyBorder="1" applyAlignment="1" applyProtection="1">
      <alignment horizontal="center" vertical="center"/>
      <protection locked="0"/>
    </xf>
    <xf numFmtId="0" fontId="117" fillId="44" borderId="35" xfId="69" applyFont="1" applyFill="1" applyBorder="1" applyAlignment="1" applyProtection="1">
      <alignment horizontal="center" vertical="center"/>
      <protection locked="0"/>
    </xf>
    <xf numFmtId="175" fontId="117" fillId="44" borderId="35" xfId="69" applyNumberFormat="1" applyFont="1" applyFill="1" applyBorder="1" applyAlignment="1" applyProtection="1">
      <alignment horizontal="center" vertical="center"/>
      <protection locked="0"/>
    </xf>
    <xf numFmtId="175" fontId="16" fillId="0" borderId="49" xfId="68" applyNumberFormat="1" applyFont="1" applyBorder="1" applyAlignment="1" applyProtection="1">
      <alignment horizontal="center" vertical="center"/>
      <protection locked="0"/>
    </xf>
    <xf numFmtId="0" fontId="50" fillId="0" borderId="28" xfId="0" applyFont="1" applyBorder="1" applyAlignment="1">
      <alignment vertical="center"/>
    </xf>
    <xf numFmtId="14" fontId="90" fillId="29" borderId="18" xfId="0" applyNumberFormat="1" applyFont="1" applyFill="1" applyBorder="1" applyAlignment="1" applyProtection="1">
      <alignment horizontal="center" vertical="center"/>
      <protection locked="0"/>
    </xf>
    <xf numFmtId="169" fontId="35" fillId="29" borderId="0" xfId="53" applyNumberFormat="1" applyFill="1" applyAlignment="1">
      <alignment vertical="center"/>
    </xf>
    <xf numFmtId="14" fontId="16" fillId="29" borderId="58" xfId="0" applyNumberFormat="1" applyFont="1" applyFill="1" applyBorder="1" applyAlignment="1" applyProtection="1">
      <alignment horizontal="center" vertical="center"/>
      <protection locked="0"/>
    </xf>
    <xf numFmtId="0" fontId="0" fillId="0" borderId="71" xfId="0" applyBorder="1" applyAlignment="1">
      <alignment vertical="center"/>
    </xf>
    <xf numFmtId="0" fontId="50" fillId="34" borderId="29" xfId="0" applyFont="1" applyFill="1" applyBorder="1" applyAlignment="1" applyProtection="1">
      <alignment horizontal="center" vertical="center"/>
      <protection hidden="1"/>
    </xf>
    <xf numFmtId="0" fontId="35" fillId="0" borderId="16" xfId="0" applyFont="1" applyBorder="1" applyAlignment="1" applyProtection="1">
      <alignment vertical="center"/>
      <protection hidden="1"/>
    </xf>
    <xf numFmtId="0" fontId="50" fillId="34" borderId="31" xfId="0" applyFont="1" applyFill="1" applyBorder="1" applyAlignment="1">
      <alignment horizontal="center" vertical="center"/>
    </xf>
    <xf numFmtId="0" fontId="16" fillId="0" borderId="0" xfId="87" applyFont="1" applyAlignment="1">
      <alignment vertical="center"/>
    </xf>
    <xf numFmtId="0" fontId="16" fillId="0" borderId="0" xfId="87" applyFont="1" applyAlignment="1" applyProtection="1">
      <alignment vertical="center"/>
      <protection hidden="1"/>
    </xf>
    <xf numFmtId="0" fontId="36" fillId="29" borderId="0" xfId="87" applyFont="1" applyFill="1" applyAlignment="1">
      <alignment horizontal="right" vertical="center"/>
    </xf>
    <xf numFmtId="0" fontId="16" fillId="0" borderId="37" xfId="87" applyFont="1" applyBorder="1" applyAlignment="1" applyProtection="1">
      <alignment vertical="center"/>
      <protection locked="0"/>
    </xf>
    <xf numFmtId="14" fontId="16" fillId="0" borderId="36" xfId="87" applyNumberFormat="1" applyFont="1" applyBorder="1" applyAlignment="1" applyProtection="1">
      <alignment horizontal="center" vertical="center"/>
      <protection locked="0"/>
    </xf>
    <xf numFmtId="0" fontId="16" fillId="0" borderId="36" xfId="87" applyFont="1" applyBorder="1" applyAlignment="1" applyProtection="1">
      <alignment vertical="center"/>
      <protection locked="0"/>
    </xf>
    <xf numFmtId="14" fontId="16" fillId="31" borderId="36" xfId="87" applyNumberFormat="1" applyFont="1" applyFill="1" applyBorder="1" applyAlignment="1" applyProtection="1">
      <alignment horizontal="center" vertical="center"/>
      <protection locked="0"/>
    </xf>
    <xf numFmtId="0" fontId="141" fillId="31" borderId="36" xfId="87" applyFont="1" applyFill="1" applyBorder="1" applyAlignment="1" applyProtection="1">
      <alignment vertical="center"/>
      <protection locked="0"/>
    </xf>
    <xf numFmtId="1" fontId="16" fillId="31" borderId="36" xfId="87" applyNumberFormat="1" applyFont="1" applyFill="1" applyBorder="1" applyAlignment="1" applyProtection="1">
      <alignment vertical="center"/>
      <protection locked="0"/>
    </xf>
    <xf numFmtId="0" fontId="16" fillId="31" borderId="36" xfId="87" applyFont="1" applyFill="1" applyBorder="1" applyAlignment="1" applyProtection="1">
      <alignment vertical="center"/>
      <protection locked="0"/>
    </xf>
    <xf numFmtId="0" fontId="16" fillId="31" borderId="41" xfId="87" applyFont="1" applyFill="1" applyBorder="1" applyAlignment="1" applyProtection="1">
      <alignment vertical="center"/>
      <protection locked="0"/>
    </xf>
    <xf numFmtId="0" fontId="16" fillId="0" borderId="32" xfId="87" applyFont="1" applyBorder="1" applyAlignment="1" applyProtection="1">
      <alignment vertical="center"/>
      <protection locked="0"/>
    </xf>
    <xf numFmtId="14" fontId="16" fillId="0" borderId="10" xfId="87" applyNumberFormat="1" applyFont="1" applyBorder="1" applyAlignment="1" applyProtection="1">
      <alignment horizontal="center" vertical="center"/>
      <protection locked="0"/>
    </xf>
    <xf numFmtId="0" fontId="16" fillId="0" borderId="10" xfId="87" applyFont="1" applyBorder="1" applyAlignment="1" applyProtection="1">
      <alignment vertical="center"/>
      <protection locked="0"/>
    </xf>
    <xf numFmtId="14" fontId="16" fillId="31" borderId="10" xfId="87" applyNumberFormat="1" applyFont="1" applyFill="1" applyBorder="1" applyAlignment="1" applyProtection="1">
      <alignment horizontal="center" vertical="center"/>
      <protection locked="0"/>
    </xf>
    <xf numFmtId="0" fontId="141" fillId="31" borderId="10" xfId="87" applyFont="1" applyFill="1" applyBorder="1" applyAlignment="1" applyProtection="1">
      <alignment vertical="center"/>
      <protection locked="0"/>
    </xf>
    <xf numFmtId="1" fontId="16" fillId="31" borderId="10" xfId="87" applyNumberFormat="1" applyFont="1" applyFill="1" applyBorder="1" applyAlignment="1" applyProtection="1">
      <alignment vertical="center"/>
      <protection locked="0"/>
    </xf>
    <xf numFmtId="0" fontId="16" fillId="31" borderId="10" xfId="87" applyFont="1" applyFill="1" applyBorder="1" applyAlignment="1" applyProtection="1">
      <alignment vertical="center"/>
      <protection locked="0"/>
    </xf>
    <xf numFmtId="0" fontId="16" fillId="31" borderId="40" xfId="87" applyFont="1" applyFill="1" applyBorder="1" applyAlignment="1" applyProtection="1">
      <alignment vertical="center"/>
      <protection locked="0"/>
    </xf>
    <xf numFmtId="14" fontId="141" fillId="31" borderId="10" xfId="87" applyNumberFormat="1" applyFont="1" applyFill="1" applyBorder="1" applyAlignment="1" applyProtection="1">
      <alignment horizontal="center" vertical="center"/>
      <protection locked="0"/>
    </xf>
    <xf numFmtId="1" fontId="16" fillId="31" borderId="10" xfId="87" applyNumberFormat="1" applyFont="1" applyFill="1" applyBorder="1" applyAlignment="1" applyProtection="1">
      <alignment horizontal="center" vertical="center"/>
      <protection locked="0"/>
    </xf>
    <xf numFmtId="14" fontId="16" fillId="0" borderId="0" xfId="87" applyNumberFormat="1" applyFont="1" applyAlignment="1">
      <alignment vertical="center"/>
    </xf>
    <xf numFmtId="0" fontId="16" fillId="0" borderId="32" xfId="87" applyFont="1" applyBorder="1" applyAlignment="1" applyProtection="1">
      <alignment horizontal="center" vertical="center"/>
      <protection locked="0"/>
    </xf>
    <xf numFmtId="0" fontId="16" fillId="0" borderId="10" xfId="87" applyFont="1" applyBorder="1" applyAlignment="1" applyProtection="1">
      <alignment horizontal="center" vertical="center"/>
      <protection locked="0"/>
    </xf>
    <xf numFmtId="4" fontId="16" fillId="31" borderId="10" xfId="87" applyNumberFormat="1" applyFont="1" applyFill="1" applyBorder="1" applyAlignment="1" applyProtection="1">
      <alignment horizontal="center" vertical="center"/>
      <protection locked="0"/>
    </xf>
    <xf numFmtId="0" fontId="16" fillId="31" borderId="10" xfId="87" applyFont="1" applyFill="1" applyBorder="1" applyAlignment="1" applyProtection="1">
      <alignment horizontal="center" vertical="center"/>
      <protection locked="0"/>
    </xf>
    <xf numFmtId="0" fontId="16" fillId="31" borderId="40" xfId="87" applyFont="1" applyFill="1" applyBorder="1" applyAlignment="1" applyProtection="1">
      <alignment horizontal="center" vertical="center"/>
      <protection locked="0"/>
    </xf>
    <xf numFmtId="0" fontId="16" fillId="0" borderId="49" xfId="87" applyFont="1" applyBorder="1" applyAlignment="1" applyProtection="1">
      <alignment horizontal="center" vertical="center"/>
      <protection locked="0"/>
    </xf>
    <xf numFmtId="14" fontId="16" fillId="0" borderId="35" xfId="87" applyNumberFormat="1" applyFont="1" applyBorder="1" applyAlignment="1" applyProtection="1">
      <alignment horizontal="center" vertical="center"/>
      <protection locked="0"/>
    </xf>
    <xf numFmtId="0" fontId="16" fillId="0" borderId="35" xfId="87" applyFont="1" applyBorder="1" applyAlignment="1" applyProtection="1">
      <alignment horizontal="center" vertical="center"/>
      <protection locked="0"/>
    </xf>
    <xf numFmtId="14" fontId="16" fillId="31" borderId="35" xfId="87" applyNumberFormat="1" applyFont="1" applyFill="1" applyBorder="1" applyAlignment="1" applyProtection="1">
      <alignment horizontal="center" vertical="center"/>
      <protection locked="0"/>
    </xf>
    <xf numFmtId="14" fontId="141" fillId="31" borderId="35" xfId="87" applyNumberFormat="1" applyFont="1" applyFill="1" applyBorder="1" applyAlignment="1" applyProtection="1">
      <alignment horizontal="center" vertical="center"/>
      <protection locked="0"/>
    </xf>
    <xf numFmtId="1" fontId="16" fillId="31" borderId="35" xfId="87" applyNumberFormat="1" applyFont="1" applyFill="1" applyBorder="1" applyAlignment="1" applyProtection="1">
      <alignment horizontal="center" vertical="center"/>
      <protection locked="0"/>
    </xf>
    <xf numFmtId="4" fontId="16" fillId="31" borderId="35" xfId="87" applyNumberFormat="1" applyFont="1" applyFill="1" applyBorder="1" applyAlignment="1" applyProtection="1">
      <alignment horizontal="center" vertical="center"/>
      <protection locked="0"/>
    </xf>
    <xf numFmtId="0" fontId="16" fillId="31" borderId="35" xfId="87" applyFont="1" applyFill="1" applyBorder="1" applyAlignment="1" applyProtection="1">
      <alignment horizontal="center" vertical="center"/>
      <protection locked="0"/>
    </xf>
    <xf numFmtId="0" fontId="16" fillId="31" borderId="43" xfId="87" applyFont="1" applyFill="1" applyBorder="1" applyAlignment="1" applyProtection="1">
      <alignment horizontal="center" vertical="center"/>
      <protection locked="0"/>
    </xf>
    <xf numFmtId="0" fontId="16" fillId="36" borderId="31" xfId="87" applyFont="1" applyFill="1" applyBorder="1" applyAlignment="1" applyProtection="1">
      <alignment horizontal="center" vertical="center"/>
      <protection hidden="1"/>
    </xf>
    <xf numFmtId="0" fontId="16" fillId="36" borderId="16" xfId="87" applyFont="1" applyFill="1" applyBorder="1" applyAlignment="1" applyProtection="1">
      <alignment horizontal="center" vertical="center"/>
      <protection hidden="1"/>
    </xf>
    <xf numFmtId="0" fontId="16" fillId="36" borderId="15" xfId="87" applyFont="1" applyFill="1" applyBorder="1" applyAlignment="1" applyProtection="1">
      <alignment horizontal="center" vertical="center"/>
      <protection hidden="1"/>
    </xf>
    <xf numFmtId="0" fontId="16" fillId="36" borderId="21" xfId="87" applyFont="1" applyFill="1" applyBorder="1" applyAlignment="1" applyProtection="1">
      <alignment horizontal="center" vertical="center"/>
      <protection hidden="1"/>
    </xf>
    <xf numFmtId="0" fontId="142" fillId="36" borderId="21" xfId="87" applyFont="1" applyFill="1" applyBorder="1" applyAlignment="1" applyProtection="1">
      <alignment horizontal="center" vertical="center"/>
      <protection hidden="1"/>
    </xf>
    <xf numFmtId="0" fontId="140" fillId="0" borderId="0" xfId="87" applyAlignment="1">
      <alignment vertical="center"/>
    </xf>
    <xf numFmtId="0" fontId="35" fillId="0" borderId="50" xfId="87" applyFont="1" applyBorder="1" applyAlignment="1">
      <alignment horizontal="center" vertical="center"/>
    </xf>
    <xf numFmtId="0" fontId="35" fillId="0" borderId="21" xfId="87" applyFont="1" applyBorder="1" applyAlignment="1">
      <alignment horizontal="center" vertical="center"/>
    </xf>
    <xf numFmtId="0" fontId="35" fillId="39" borderId="21" xfId="87" applyFont="1" applyFill="1" applyBorder="1" applyAlignment="1">
      <alignment horizontal="center" vertical="center"/>
    </xf>
    <xf numFmtId="3" fontId="35" fillId="39" borderId="21" xfId="87" applyNumberFormat="1" applyFont="1" applyFill="1" applyBorder="1" applyAlignment="1">
      <alignment horizontal="center" vertical="center"/>
    </xf>
    <xf numFmtId="0" fontId="140" fillId="0" borderId="21" xfId="87" applyBorder="1" applyAlignment="1">
      <alignment horizontal="center" vertical="center"/>
    </xf>
    <xf numFmtId="0" fontId="35" fillId="0" borderId="43" xfId="87" applyFont="1" applyBorder="1" applyAlignment="1">
      <alignment horizontal="center" vertical="center"/>
    </xf>
    <xf numFmtId="0" fontId="35" fillId="0" borderId="40" xfId="87" applyFont="1" applyBorder="1" applyAlignment="1">
      <alignment horizontal="center" vertical="center"/>
    </xf>
    <xf numFmtId="0" fontId="35" fillId="0" borderId="41" xfId="87" applyFont="1" applyBorder="1" applyAlignment="1">
      <alignment horizontal="center" vertical="center"/>
    </xf>
    <xf numFmtId="0" fontId="35" fillId="0" borderId="0" xfId="87" applyFont="1" applyAlignment="1">
      <alignment vertical="center"/>
    </xf>
    <xf numFmtId="0" fontId="140" fillId="0" borderId="0" xfId="87" applyAlignment="1">
      <alignment horizontal="left" vertical="center"/>
    </xf>
    <xf numFmtId="0" fontId="143" fillId="0" borderId="0" xfId="87" applyFont="1" applyAlignment="1">
      <alignment vertical="center"/>
    </xf>
    <xf numFmtId="0" fontId="91" fillId="36" borderId="21" xfId="87" applyFont="1" applyFill="1" applyBorder="1" applyAlignment="1">
      <alignment horizontal="center" vertical="center" wrapText="1"/>
    </xf>
    <xf numFmtId="0" fontId="91" fillId="36" borderId="21" xfId="87" applyFont="1" applyFill="1" applyBorder="1" applyAlignment="1">
      <alignment horizontal="center" vertical="center"/>
    </xf>
    <xf numFmtId="14" fontId="144" fillId="0" borderId="51" xfId="87" applyNumberFormat="1" applyFont="1" applyBorder="1" applyAlignment="1" applyProtection="1">
      <alignment horizontal="center" vertical="center"/>
      <protection locked="0"/>
    </xf>
    <xf numFmtId="0" fontId="145" fillId="0" borderId="51" xfId="87" applyFont="1" applyBorder="1" applyAlignment="1" applyProtection="1">
      <alignment horizontal="center" vertical="center"/>
      <protection locked="0"/>
    </xf>
    <xf numFmtId="0" fontId="50" fillId="0" borderId="51" xfId="87" applyFont="1" applyBorder="1" applyAlignment="1" applyProtection="1">
      <alignment horizontal="center" vertical="center"/>
      <protection locked="0"/>
    </xf>
    <xf numFmtId="4" fontId="50" fillId="0" borderId="51" xfId="87" applyNumberFormat="1" applyFont="1" applyBorder="1" applyAlignment="1" applyProtection="1">
      <alignment horizontal="right" vertical="center"/>
      <protection locked="0"/>
    </xf>
    <xf numFmtId="14" fontId="144" fillId="0" borderId="34" xfId="87" applyNumberFormat="1" applyFont="1" applyBorder="1" applyAlignment="1" applyProtection="1">
      <alignment horizontal="center" vertical="center"/>
      <protection locked="0"/>
    </xf>
    <xf numFmtId="0" fontId="145" fillId="0" borderId="34" xfId="87" applyFont="1" applyBorder="1" applyAlignment="1" applyProtection="1">
      <alignment horizontal="center" vertical="center"/>
      <protection locked="0"/>
    </xf>
    <xf numFmtId="0" fontId="50" fillId="0" borderId="34" xfId="87" applyFont="1" applyBorder="1" applyAlignment="1" applyProtection="1">
      <alignment horizontal="center" vertical="center"/>
      <protection locked="0"/>
    </xf>
    <xf numFmtId="4" fontId="50" fillId="0" borderId="34" xfId="87" applyNumberFormat="1" applyFont="1" applyBorder="1" applyAlignment="1" applyProtection="1">
      <alignment horizontal="right" vertical="center"/>
      <protection locked="0"/>
    </xf>
    <xf numFmtId="0" fontId="144" fillId="0" borderId="34" xfId="87" applyFont="1" applyBorder="1" applyAlignment="1" applyProtection="1">
      <alignment horizontal="center" vertical="center"/>
      <protection locked="0"/>
    </xf>
    <xf numFmtId="14" fontId="144" fillId="0" borderId="52" xfId="87" applyNumberFormat="1" applyFont="1" applyBorder="1" applyAlignment="1" applyProtection="1">
      <alignment horizontal="center" vertical="center"/>
      <protection locked="0"/>
    </xf>
    <xf numFmtId="0" fontId="144" fillId="0" borderId="52" xfId="87" applyFont="1" applyBorder="1" applyAlignment="1" applyProtection="1">
      <alignment horizontal="center" vertical="center"/>
      <protection locked="0"/>
    </xf>
    <xf numFmtId="0" fontId="50" fillId="0" borderId="52" xfId="87" applyFont="1" applyBorder="1" applyAlignment="1" applyProtection="1">
      <alignment horizontal="center" vertical="center"/>
      <protection locked="0"/>
    </xf>
    <xf numFmtId="4" fontId="50" fillId="0" borderId="52" xfId="87" applyNumberFormat="1" applyFont="1" applyBorder="1" applyAlignment="1" applyProtection="1">
      <alignment horizontal="right" vertical="center"/>
      <protection locked="0"/>
    </xf>
    <xf numFmtId="0" fontId="50" fillId="0" borderId="50" xfId="87" applyFont="1" applyBorder="1" applyAlignment="1">
      <alignment horizontal="center" vertical="center"/>
    </xf>
    <xf numFmtId="4" fontId="42" fillId="0" borderId="50" xfId="87" applyNumberFormat="1" applyFont="1" applyBorder="1" applyAlignment="1">
      <alignment horizontal="right" vertical="center"/>
    </xf>
    <xf numFmtId="0" fontId="50" fillId="0" borderId="21" xfId="87" applyFont="1" applyBorder="1" applyAlignment="1" applyProtection="1">
      <alignment horizontal="center" vertical="center"/>
      <protection locked="0"/>
    </xf>
    <xf numFmtId="4" fontId="40" fillId="0" borderId="21" xfId="87" applyNumberFormat="1" applyFont="1" applyBorder="1" applyAlignment="1" applyProtection="1">
      <alignment horizontal="right" vertical="center"/>
      <protection locked="0"/>
    </xf>
    <xf numFmtId="0" fontId="50" fillId="0" borderId="21" xfId="87" applyFont="1" applyBorder="1" applyAlignment="1">
      <alignment horizontal="center" vertical="center"/>
    </xf>
    <xf numFmtId="4" fontId="40" fillId="0" borderId="21" xfId="87" applyNumberFormat="1" applyFont="1" applyBorder="1" applyAlignment="1">
      <alignment horizontal="right" vertical="center"/>
    </xf>
    <xf numFmtId="0" fontId="146" fillId="0" borderId="0" xfId="87" applyFont="1" applyAlignment="1">
      <alignment vertical="center"/>
    </xf>
    <xf numFmtId="0" fontId="147" fillId="0" borderId="0" xfId="87" applyFont="1" applyAlignment="1">
      <alignment vertical="center"/>
    </xf>
    <xf numFmtId="0" fontId="148" fillId="0" borderId="0" xfId="87" applyFont="1" applyAlignment="1">
      <alignment vertical="center"/>
    </xf>
    <xf numFmtId="0" fontId="140" fillId="0" borderId="0" xfId="87" applyAlignment="1" applyProtection="1">
      <alignment vertical="center"/>
      <protection locked="0"/>
    </xf>
    <xf numFmtId="0" fontId="11" fillId="29" borderId="0" xfId="87" applyFont="1" applyFill="1" applyAlignment="1">
      <alignment horizontal="right" vertical="center"/>
    </xf>
    <xf numFmtId="0" fontId="50" fillId="0" borderId="0" xfId="87" applyFont="1" applyAlignment="1">
      <alignment horizontal="center" vertical="center"/>
    </xf>
    <xf numFmtId="0" fontId="50" fillId="0" borderId="0" xfId="87" applyFont="1" applyAlignment="1">
      <alignment horizontal="left" vertical="center"/>
    </xf>
    <xf numFmtId="0" fontId="26" fillId="35" borderId="21" xfId="87" applyFont="1" applyFill="1" applyBorder="1" applyAlignment="1" applyProtection="1">
      <alignment horizontal="center" vertical="center"/>
      <protection hidden="1"/>
    </xf>
    <xf numFmtId="0" fontId="90" fillId="35" borderId="21" xfId="87" applyFont="1" applyFill="1" applyBorder="1" applyAlignment="1" applyProtection="1">
      <alignment horizontal="center" vertical="center"/>
      <protection hidden="1"/>
    </xf>
    <xf numFmtId="0" fontId="16" fillId="35" borderId="21" xfId="87" applyFont="1" applyFill="1" applyBorder="1" applyAlignment="1" applyProtection="1">
      <alignment horizontal="center" vertical="center"/>
      <protection hidden="1"/>
    </xf>
    <xf numFmtId="0" fontId="26" fillId="35" borderId="16" xfId="87" applyFont="1" applyFill="1" applyBorder="1" applyAlignment="1" applyProtection="1">
      <alignment horizontal="center" vertical="center"/>
      <protection locked="0"/>
    </xf>
    <xf numFmtId="0" fontId="26" fillId="35" borderId="17" xfId="87" applyFont="1" applyFill="1" applyBorder="1" applyAlignment="1" applyProtection="1">
      <alignment horizontal="center" vertical="center"/>
      <protection locked="0"/>
    </xf>
    <xf numFmtId="0" fontId="35" fillId="0" borderId="43" xfId="87" applyFont="1" applyBorder="1" applyAlignment="1" applyProtection="1">
      <alignment horizontal="center" vertical="center"/>
      <protection hidden="1"/>
    </xf>
    <xf numFmtId="0" fontId="35" fillId="0" borderId="40" xfId="87" applyFont="1" applyBorder="1" applyAlignment="1" applyProtection="1">
      <alignment horizontal="center" vertical="center"/>
      <protection hidden="1"/>
    </xf>
    <xf numFmtId="0" fontId="35" fillId="0" borderId="41" xfId="87" applyFont="1" applyBorder="1" applyAlignment="1" applyProtection="1">
      <alignment horizontal="center" vertical="center"/>
      <protection hidden="1"/>
    </xf>
    <xf numFmtId="0" fontId="35" fillId="0" borderId="0" xfId="87" applyFont="1" applyAlignment="1">
      <alignment horizontal="center" vertical="center"/>
    </xf>
    <xf numFmtId="0" fontId="57" fillId="0" borderId="0" xfId="30" applyBorder="1" applyAlignment="1" applyProtection="1">
      <alignment horizontal="center" vertical="center"/>
    </xf>
    <xf numFmtId="0" fontId="149" fillId="0" borderId="21" xfId="87" applyFont="1" applyBorder="1" applyAlignment="1">
      <alignment horizontal="center" vertical="center"/>
    </xf>
    <xf numFmtId="0" fontId="144" fillId="0" borderId="51" xfId="87" applyFont="1" applyBorder="1" applyAlignment="1" applyProtection="1">
      <alignment horizontal="center" vertical="center"/>
      <protection locked="0"/>
    </xf>
    <xf numFmtId="0" fontId="92" fillId="0" borderId="21" xfId="87" applyFont="1" applyBorder="1" applyAlignment="1">
      <alignment horizontal="center" vertical="center"/>
    </xf>
    <xf numFmtId="0" fontId="145" fillId="36" borderId="21" xfId="87" applyFont="1" applyFill="1" applyBorder="1" applyAlignment="1" applyProtection="1">
      <alignment horizontal="center" vertical="center"/>
      <protection hidden="1"/>
    </xf>
    <xf numFmtId="14" fontId="151" fillId="36" borderId="21" xfId="87" applyNumberFormat="1" applyFont="1" applyFill="1" applyBorder="1" applyAlignment="1" applyProtection="1">
      <alignment horizontal="center" vertical="center"/>
      <protection locked="0"/>
    </xf>
    <xf numFmtId="0" fontId="50" fillId="36" borderId="21" xfId="87" applyFont="1" applyFill="1" applyBorder="1" applyAlignment="1" applyProtection="1">
      <alignment horizontal="center" vertical="center"/>
      <protection hidden="1"/>
    </xf>
    <xf numFmtId="4" fontId="73" fillId="36" borderId="21" xfId="87" applyNumberFormat="1" applyFont="1" applyFill="1" applyBorder="1" applyAlignment="1" applyProtection="1">
      <alignment horizontal="center" vertical="center"/>
      <protection locked="0" hidden="1"/>
    </xf>
    <xf numFmtId="0" fontId="50" fillId="49" borderId="21" xfId="87" applyFont="1" applyFill="1" applyBorder="1" applyAlignment="1">
      <alignment horizontal="center" vertical="center"/>
    </xf>
    <xf numFmtId="0" fontId="16" fillId="49" borderId="21" xfId="87" applyFont="1" applyFill="1" applyBorder="1" applyAlignment="1">
      <alignment horizontal="center" vertical="center"/>
    </xf>
    <xf numFmtId="10" fontId="140" fillId="49" borderId="21" xfId="87" applyNumberFormat="1" applyFill="1" applyBorder="1" applyAlignment="1" applyProtection="1">
      <alignment horizontal="center" vertical="center"/>
      <protection locked="0"/>
    </xf>
    <xf numFmtId="4" fontId="140" fillId="49" borderId="21" xfId="87" applyNumberFormat="1" applyFill="1" applyBorder="1" applyAlignment="1">
      <alignment vertical="center"/>
    </xf>
    <xf numFmtId="0" fontId="16" fillId="29" borderId="13" xfId="87" applyFont="1" applyFill="1" applyBorder="1" applyAlignment="1">
      <alignment horizontal="center" vertical="center"/>
    </xf>
    <xf numFmtId="10" fontId="140" fillId="29" borderId="13" xfId="87" applyNumberFormat="1" applyFill="1" applyBorder="1" applyAlignment="1" applyProtection="1">
      <alignment horizontal="center" vertical="center"/>
      <protection locked="0"/>
    </xf>
    <xf numFmtId="4" fontId="140" fillId="29" borderId="14" xfId="87" applyNumberFormat="1" applyFill="1" applyBorder="1" applyAlignment="1">
      <alignment vertical="center"/>
    </xf>
    <xf numFmtId="14" fontId="150" fillId="36" borderId="31" xfId="87" applyNumberFormat="1" applyFont="1" applyFill="1" applyBorder="1" applyAlignment="1" applyProtection="1">
      <alignment horizontal="center" vertical="center"/>
      <protection hidden="1"/>
    </xf>
    <xf numFmtId="14" fontId="150" fillId="29" borderId="17" xfId="87" applyNumberFormat="1" applyFont="1" applyFill="1" applyBorder="1" applyAlignment="1" applyProtection="1">
      <alignment horizontal="center" vertical="center"/>
      <protection locked="0" hidden="1"/>
    </xf>
    <xf numFmtId="14" fontId="152" fillId="34" borderId="35" xfId="87" applyNumberFormat="1" applyFont="1" applyFill="1" applyBorder="1" applyAlignment="1" applyProtection="1">
      <alignment horizontal="center" vertical="center"/>
      <protection hidden="1"/>
    </xf>
    <xf numFmtId="14" fontId="153" fillId="34" borderId="49" xfId="87" applyNumberFormat="1" applyFont="1" applyFill="1" applyBorder="1" applyAlignment="1" applyProtection="1">
      <alignment horizontal="center" vertical="center"/>
      <protection locked="0"/>
    </xf>
    <xf numFmtId="14" fontId="154" fillId="34" borderId="10" xfId="87" applyNumberFormat="1" applyFont="1" applyFill="1" applyBorder="1" applyAlignment="1" applyProtection="1">
      <alignment horizontal="center" vertical="center"/>
      <protection locked="0"/>
    </xf>
    <xf numFmtId="14" fontId="154" fillId="34" borderId="32" xfId="87" applyNumberFormat="1" applyFont="1" applyFill="1" applyBorder="1" applyAlignment="1" applyProtection="1">
      <alignment horizontal="center" vertical="center"/>
      <protection locked="0"/>
    </xf>
    <xf numFmtId="0" fontId="16" fillId="0" borderId="0" xfId="53" applyFont="1" applyAlignment="1">
      <alignment vertical="center"/>
    </xf>
    <xf numFmtId="0" fontId="16" fillId="0" borderId="0" xfId="53" applyFont="1" applyAlignment="1">
      <alignment horizontal="center" vertical="center"/>
    </xf>
    <xf numFmtId="0" fontId="16" fillId="0" borderId="28" xfId="53" applyFont="1" applyBorder="1" applyAlignment="1" applyProtection="1">
      <alignment vertical="center"/>
      <protection hidden="1"/>
    </xf>
    <xf numFmtId="0" fontId="16" fillId="0" borderId="0" xfId="53" applyFont="1" applyAlignment="1" applyProtection="1">
      <alignment vertical="center"/>
      <protection hidden="1"/>
    </xf>
    <xf numFmtId="0" fontId="16" fillId="0" borderId="0" xfId="53" applyFont="1" applyAlignment="1" applyProtection="1">
      <alignment horizontal="center" vertical="center"/>
      <protection hidden="1"/>
    </xf>
    <xf numFmtId="0" fontId="16" fillId="0" borderId="53" xfId="53" applyFont="1" applyBorder="1" applyAlignment="1" applyProtection="1">
      <alignment vertical="center"/>
      <protection hidden="1"/>
    </xf>
    <xf numFmtId="0" fontId="16" fillId="31" borderId="13" xfId="53" applyFont="1" applyFill="1" applyBorder="1" applyAlignment="1" applyProtection="1">
      <alignment horizontal="center" vertical="center"/>
      <protection hidden="1"/>
    </xf>
    <xf numFmtId="17" fontId="16" fillId="31" borderId="21" xfId="53" applyNumberFormat="1" applyFont="1" applyFill="1" applyBorder="1" applyAlignment="1" applyProtection="1">
      <alignment horizontal="center" vertical="center"/>
      <protection hidden="1"/>
    </xf>
    <xf numFmtId="0" fontId="16" fillId="31" borderId="23" xfId="53" applyFont="1" applyFill="1" applyBorder="1" applyAlignment="1">
      <alignment horizontal="center" vertical="center"/>
    </xf>
    <xf numFmtId="0" fontId="16" fillId="31" borderId="13" xfId="53" applyFont="1" applyFill="1" applyBorder="1" applyAlignment="1">
      <alignment horizontal="center" vertical="center"/>
    </xf>
    <xf numFmtId="0" fontId="16" fillId="31" borderId="30" xfId="53" applyFont="1" applyFill="1" applyBorder="1" applyAlignment="1">
      <alignment horizontal="center" vertical="center"/>
    </xf>
    <xf numFmtId="9" fontId="16" fillId="31" borderId="21" xfId="53" applyNumberFormat="1" applyFont="1" applyFill="1" applyBorder="1" applyAlignment="1" applyProtection="1">
      <alignment horizontal="center" vertical="center"/>
      <protection hidden="1"/>
    </xf>
    <xf numFmtId="0" fontId="139" fillId="31" borderId="30" xfId="53" applyFont="1" applyFill="1" applyBorder="1" applyAlignment="1">
      <alignment horizontal="center" vertical="center"/>
    </xf>
    <xf numFmtId="0" fontId="16" fillId="31" borderId="56" xfId="53" applyFont="1" applyFill="1" applyBorder="1" applyAlignment="1">
      <alignment horizontal="center" vertical="center"/>
    </xf>
    <xf numFmtId="0" fontId="16" fillId="31" borderId="24" xfId="53" applyFont="1" applyFill="1" applyBorder="1" applyAlignment="1">
      <alignment horizontal="center" vertical="center"/>
    </xf>
    <xf numFmtId="176" fontId="16" fillId="0" borderId="42" xfId="53" applyNumberFormat="1" applyFont="1" applyBorder="1" applyAlignment="1" applyProtection="1">
      <alignment horizontal="center" vertical="center"/>
      <protection locked="0"/>
    </xf>
    <xf numFmtId="10" fontId="16" fillId="0" borderId="18" xfId="53" applyNumberFormat="1" applyFont="1" applyBorder="1" applyAlignment="1" applyProtection="1">
      <alignment vertical="center"/>
      <protection locked="0"/>
    </xf>
    <xf numFmtId="10" fontId="16" fillId="0" borderId="18" xfId="53" applyNumberFormat="1" applyFont="1" applyBorder="1" applyAlignment="1" applyProtection="1">
      <alignment horizontal="center" vertical="center"/>
      <protection locked="0"/>
    </xf>
    <xf numFmtId="9" fontId="16" fillId="0" borderId="18" xfId="53" applyNumberFormat="1" applyFont="1" applyBorder="1" applyAlignment="1" applyProtection="1">
      <alignment horizontal="center" vertical="center"/>
      <protection locked="0"/>
    </xf>
    <xf numFmtId="4" fontId="16" fillId="0" borderId="18" xfId="53" applyNumberFormat="1" applyFont="1" applyBorder="1" applyAlignment="1" applyProtection="1">
      <alignment vertical="center"/>
      <protection locked="0"/>
    </xf>
    <xf numFmtId="4" fontId="16" fillId="0" borderId="19" xfId="53" applyNumberFormat="1" applyFont="1" applyBorder="1" applyAlignment="1" applyProtection="1">
      <alignment vertical="center"/>
      <protection locked="0"/>
    </xf>
    <xf numFmtId="9" fontId="16" fillId="0" borderId="42" xfId="53" applyNumberFormat="1" applyFont="1" applyBorder="1" applyAlignment="1" applyProtection="1">
      <alignment horizontal="center" vertical="center"/>
      <protection locked="0"/>
    </xf>
    <xf numFmtId="4" fontId="16" fillId="0" borderId="42" xfId="53" applyNumberFormat="1" applyFont="1" applyBorder="1" applyAlignment="1" applyProtection="1">
      <alignment vertical="center"/>
      <protection locked="0"/>
    </xf>
    <xf numFmtId="4" fontId="16" fillId="0" borderId="54" xfId="53" applyNumberFormat="1" applyFont="1" applyBorder="1" applyAlignment="1" applyProtection="1">
      <alignment vertical="center"/>
      <protection locked="0"/>
    </xf>
    <xf numFmtId="167" fontId="16" fillId="0" borderId="0" xfId="53" applyNumberFormat="1" applyFont="1" applyAlignment="1">
      <alignment vertical="center"/>
    </xf>
    <xf numFmtId="176" fontId="16" fillId="0" borderId="40" xfId="53" applyNumberFormat="1" applyFont="1" applyBorder="1" applyAlignment="1" applyProtection="1">
      <alignment horizontal="center" vertical="center"/>
      <protection locked="0"/>
    </xf>
    <xf numFmtId="10" fontId="16" fillId="0" borderId="10" xfId="53" applyNumberFormat="1" applyFont="1" applyBorder="1" applyAlignment="1" applyProtection="1">
      <alignment vertical="center"/>
      <protection locked="0"/>
    </xf>
    <xf numFmtId="10" fontId="16" fillId="0" borderId="10" xfId="53" applyNumberFormat="1" applyFont="1" applyBorder="1" applyAlignment="1" applyProtection="1">
      <alignment horizontal="center" vertical="center"/>
      <protection locked="0"/>
    </xf>
    <xf numFmtId="4" fontId="142" fillId="0" borderId="18" xfId="53" applyNumberFormat="1" applyFont="1" applyBorder="1" applyAlignment="1" applyProtection="1">
      <alignment vertical="center"/>
      <protection locked="0"/>
    </xf>
    <xf numFmtId="10" fontId="16" fillId="0" borderId="0" xfId="53" applyNumberFormat="1" applyFont="1" applyAlignment="1">
      <alignment vertical="center"/>
    </xf>
    <xf numFmtId="14" fontId="16" fillId="0" borderId="0" xfId="53" applyNumberFormat="1" applyFont="1" applyAlignment="1">
      <alignment vertical="center"/>
    </xf>
    <xf numFmtId="9" fontId="16" fillId="0" borderId="10" xfId="53" applyNumberFormat="1" applyFont="1" applyBorder="1" applyAlignment="1" applyProtection="1">
      <alignment vertical="center"/>
      <protection locked="0"/>
    </xf>
    <xf numFmtId="9" fontId="16" fillId="0" borderId="10" xfId="53" applyNumberFormat="1" applyFont="1" applyBorder="1" applyAlignment="1" applyProtection="1">
      <alignment horizontal="center" vertical="center"/>
      <protection locked="0"/>
    </xf>
    <xf numFmtId="0" fontId="16" fillId="0" borderId="10" xfId="53" applyFont="1" applyBorder="1" applyAlignment="1" applyProtection="1">
      <alignment horizontal="right" vertical="center"/>
      <protection locked="0"/>
    </xf>
    <xf numFmtId="0" fontId="16" fillId="0" borderId="10" xfId="53" applyFont="1" applyBorder="1" applyAlignment="1" applyProtection="1">
      <alignment horizontal="center" vertical="center"/>
      <protection locked="0"/>
    </xf>
    <xf numFmtId="49" fontId="16" fillId="0" borderId="10" xfId="53" applyNumberFormat="1" applyFont="1" applyBorder="1" applyAlignment="1" applyProtection="1">
      <alignment vertical="center"/>
      <protection locked="0"/>
    </xf>
    <xf numFmtId="49" fontId="16" fillId="0" borderId="10" xfId="53" applyNumberFormat="1" applyFont="1" applyBorder="1" applyAlignment="1" applyProtection="1">
      <alignment horizontal="center" vertical="center"/>
      <protection locked="0"/>
    </xf>
    <xf numFmtId="4" fontId="16" fillId="0" borderId="18" xfId="53" applyNumberFormat="1" applyFont="1" applyBorder="1" applyAlignment="1" applyProtection="1">
      <alignment horizontal="center" vertical="center"/>
      <protection locked="0"/>
    </xf>
    <xf numFmtId="4" fontId="16" fillId="32" borderId="18" xfId="53" applyNumberFormat="1" applyFont="1" applyFill="1" applyBorder="1" applyAlignment="1" applyProtection="1">
      <alignment vertical="center"/>
      <protection locked="0"/>
    </xf>
    <xf numFmtId="4" fontId="16" fillId="32" borderId="19" xfId="53" applyNumberFormat="1" applyFont="1" applyFill="1" applyBorder="1" applyAlignment="1" applyProtection="1">
      <alignment vertical="center"/>
      <protection locked="0"/>
    </xf>
    <xf numFmtId="4" fontId="16" fillId="36" borderId="18" xfId="53" applyNumberFormat="1" applyFont="1" applyFill="1" applyBorder="1" applyAlignment="1" applyProtection="1">
      <alignment vertical="center"/>
      <protection locked="0"/>
    </xf>
    <xf numFmtId="4" fontId="16" fillId="36" borderId="54" xfId="53" applyNumberFormat="1" applyFont="1" applyFill="1" applyBorder="1" applyAlignment="1" applyProtection="1">
      <alignment vertical="center"/>
      <protection locked="0"/>
    </xf>
    <xf numFmtId="4" fontId="16" fillId="36" borderId="39" xfId="53" applyNumberFormat="1" applyFont="1" applyFill="1" applyBorder="1" applyAlignment="1">
      <alignment horizontal="center" vertical="center"/>
    </xf>
    <xf numFmtId="4" fontId="16" fillId="36" borderId="39" xfId="53" applyNumberFormat="1" applyFont="1" applyFill="1" applyBorder="1" applyAlignment="1">
      <alignment horizontal="right" vertical="center"/>
    </xf>
    <xf numFmtId="0" fontId="16" fillId="0" borderId="0" xfId="53" applyFont="1" applyAlignment="1">
      <alignment horizontal="right" vertical="center"/>
    </xf>
    <xf numFmtId="9" fontId="16" fillId="36" borderId="21" xfId="53" applyNumberFormat="1" applyFont="1" applyFill="1" applyBorder="1" applyAlignment="1">
      <alignment vertical="center"/>
    </xf>
    <xf numFmtId="4" fontId="16" fillId="36" borderId="13" xfId="53" applyNumberFormat="1" applyFont="1" applyFill="1" applyBorder="1" applyAlignment="1">
      <alignment horizontal="center" vertical="center"/>
    </xf>
    <xf numFmtId="4" fontId="16" fillId="36" borderId="56" xfId="53" applyNumberFormat="1" applyFont="1" applyFill="1" applyBorder="1" applyAlignment="1">
      <alignment horizontal="center" vertical="center"/>
    </xf>
    <xf numFmtId="4" fontId="16" fillId="36" borderId="24" xfId="53" applyNumberFormat="1" applyFont="1" applyFill="1" applyBorder="1" applyAlignment="1">
      <alignment horizontal="right" vertical="center"/>
    </xf>
    <xf numFmtId="4" fontId="16" fillId="36" borderId="37" xfId="53" applyNumberFormat="1" applyFont="1" applyFill="1" applyBorder="1" applyAlignment="1">
      <alignment horizontal="right" vertical="center"/>
    </xf>
    <xf numFmtId="0" fontId="46" fillId="29" borderId="0" xfId="53" applyFont="1" applyFill="1" applyAlignment="1" applyProtection="1">
      <alignment horizontal="center" vertical="center"/>
      <protection hidden="1"/>
    </xf>
    <xf numFmtId="1" fontId="46" fillId="29" borderId="53" xfId="53" applyNumberFormat="1" applyFont="1" applyFill="1" applyBorder="1" applyAlignment="1" applyProtection="1">
      <alignment horizontal="center" vertical="center"/>
      <protection hidden="1"/>
    </xf>
    <xf numFmtId="0" fontId="35" fillId="0" borderId="28" xfId="53" applyBorder="1" applyAlignment="1">
      <alignment horizontal="center"/>
    </xf>
    <xf numFmtId="0" fontId="35" fillId="0" borderId="53" xfId="53" applyBorder="1"/>
    <xf numFmtId="0" fontId="35" fillId="0" borderId="0" xfId="53" applyAlignment="1">
      <alignment horizontal="left"/>
    </xf>
    <xf numFmtId="1" fontId="46" fillId="36" borderId="21" xfId="53" applyNumberFormat="1" applyFont="1" applyFill="1" applyBorder="1" applyAlignment="1" applyProtection="1">
      <alignment horizontal="center" vertical="center"/>
      <protection locked="0"/>
    </xf>
    <xf numFmtId="0" fontId="35" fillId="0" borderId="72" xfId="53" applyBorder="1"/>
    <xf numFmtId="0" fontId="35" fillId="0" borderId="71" xfId="53" applyBorder="1"/>
    <xf numFmtId="0" fontId="35" fillId="0" borderId="71" xfId="53" applyBorder="1" applyAlignment="1">
      <alignment horizontal="center"/>
    </xf>
    <xf numFmtId="0" fontId="26" fillId="36" borderId="48" xfId="53" applyFont="1" applyFill="1" applyBorder="1" applyAlignment="1">
      <alignment horizontal="center"/>
    </xf>
    <xf numFmtId="0" fontId="26" fillId="36" borderId="30" xfId="53" applyFont="1" applyFill="1" applyBorder="1" applyAlignment="1">
      <alignment horizontal="center"/>
    </xf>
    <xf numFmtId="0" fontId="26" fillId="36" borderId="24" xfId="53" applyFont="1" applyFill="1" applyBorder="1" applyAlignment="1">
      <alignment horizontal="center"/>
    </xf>
    <xf numFmtId="0" fontId="50" fillId="0" borderId="0" xfId="53" applyFont="1" applyAlignment="1">
      <alignment horizontal="center"/>
    </xf>
    <xf numFmtId="177" fontId="26" fillId="0" borderId="42" xfId="53" applyNumberFormat="1" applyFont="1" applyBorder="1" applyAlignment="1" applyProtection="1">
      <alignment horizontal="center"/>
      <protection locked="0"/>
    </xf>
    <xf numFmtId="4" fontId="26" fillId="0" borderId="18" xfId="53" applyNumberFormat="1" applyFont="1" applyBorder="1" applyProtection="1">
      <protection locked="0"/>
    </xf>
    <xf numFmtId="4" fontId="26" fillId="0" borderId="10" xfId="53" applyNumberFormat="1" applyFont="1" applyBorder="1" applyProtection="1">
      <protection locked="0"/>
    </xf>
    <xf numFmtId="4" fontId="26" fillId="0" borderId="54" xfId="53" applyNumberFormat="1" applyFont="1" applyBorder="1" applyProtection="1">
      <protection locked="0"/>
    </xf>
    <xf numFmtId="167" fontId="35" fillId="0" borderId="0" xfId="53" applyNumberFormat="1"/>
    <xf numFmtId="0" fontId="26" fillId="0" borderId="18" xfId="53" applyFont="1" applyBorder="1" applyProtection="1">
      <protection locked="0"/>
    </xf>
    <xf numFmtId="177" fontId="26" fillId="0" borderId="78" xfId="53" applyNumberFormat="1" applyFont="1" applyBorder="1" applyAlignment="1" applyProtection="1">
      <alignment horizontal="center"/>
      <protection locked="0"/>
    </xf>
    <xf numFmtId="177" fontId="26" fillId="0" borderId="40" xfId="53" applyNumberFormat="1" applyFont="1" applyBorder="1" applyAlignment="1" applyProtection="1">
      <alignment horizontal="center"/>
      <protection locked="0"/>
    </xf>
    <xf numFmtId="4" fontId="26" fillId="0" borderId="32" xfId="53" applyNumberFormat="1" applyFont="1" applyBorder="1" applyProtection="1">
      <protection locked="0"/>
    </xf>
    <xf numFmtId="0" fontId="26" fillId="0" borderId="10" xfId="53" applyFont="1" applyBorder="1" applyProtection="1">
      <protection locked="0"/>
    </xf>
    <xf numFmtId="14" fontId="26" fillId="0" borderId="40" xfId="53" applyNumberFormat="1" applyFont="1" applyBorder="1" applyAlignment="1" applyProtection="1">
      <alignment horizontal="center"/>
      <protection locked="0"/>
    </xf>
    <xf numFmtId="14" fontId="26" fillId="0" borderId="33" xfId="53" applyNumberFormat="1" applyFont="1" applyBorder="1" applyProtection="1">
      <protection locked="0"/>
    </xf>
    <xf numFmtId="14" fontId="26" fillId="0" borderId="11" xfId="53" applyNumberFormat="1" applyFont="1" applyBorder="1" applyProtection="1">
      <protection locked="0"/>
    </xf>
    <xf numFmtId="14" fontId="26" fillId="0" borderId="58" xfId="53" applyNumberFormat="1" applyFont="1" applyBorder="1" applyProtection="1">
      <protection locked="0"/>
    </xf>
    <xf numFmtId="171" fontId="49" fillId="36" borderId="10" xfId="53" applyNumberFormat="1" applyFont="1" applyFill="1" applyBorder="1" applyProtection="1">
      <protection hidden="1"/>
    </xf>
    <xf numFmtId="171" fontId="49" fillId="36" borderId="32" xfId="53" applyNumberFormat="1" applyFont="1" applyFill="1" applyBorder="1" applyProtection="1">
      <protection hidden="1"/>
    </xf>
    <xf numFmtId="0" fontId="50" fillId="0" borderId="0" xfId="53" applyFont="1" applyAlignment="1" applyProtection="1">
      <alignment horizontal="right"/>
      <protection hidden="1"/>
    </xf>
    <xf numFmtId="0" fontId="50" fillId="0" borderId="0" xfId="53" applyFont="1" applyAlignment="1" applyProtection="1">
      <alignment horizontal="center"/>
      <protection hidden="1"/>
    </xf>
    <xf numFmtId="0" fontId="50" fillId="0" borderId="0" xfId="53" applyFont="1"/>
    <xf numFmtId="0" fontId="26" fillId="0" borderId="0" xfId="53" applyFont="1" applyAlignment="1">
      <alignment horizontal="right"/>
    </xf>
    <xf numFmtId="0" fontId="26" fillId="0" borderId="0" xfId="53" applyFont="1" applyAlignment="1">
      <alignment horizontal="center"/>
    </xf>
    <xf numFmtId="0" fontId="26" fillId="0" borderId="0" xfId="53" applyFont="1"/>
    <xf numFmtId="0" fontId="60" fillId="0" borderId="0" xfId="31" applyAlignment="1">
      <alignment vertical="center"/>
    </xf>
    <xf numFmtId="0" fontId="156" fillId="29" borderId="0" xfId="87" applyFont="1" applyFill="1" applyAlignment="1">
      <alignment vertical="center"/>
    </xf>
    <xf numFmtId="0" fontId="140" fillId="0" borderId="0" xfId="87"/>
    <xf numFmtId="0" fontId="76" fillId="50" borderId="14" xfId="87" applyFont="1" applyFill="1" applyBorder="1" applyAlignment="1">
      <alignment vertical="center"/>
    </xf>
    <xf numFmtId="14" fontId="157" fillId="32" borderId="12" xfId="87" applyNumberFormat="1" applyFont="1" applyFill="1" applyBorder="1" applyAlignment="1" applyProtection="1">
      <alignment horizontal="center" vertical="center"/>
      <protection hidden="1"/>
    </xf>
    <xf numFmtId="0" fontId="158" fillId="31" borderId="21" xfId="87" applyFont="1" applyFill="1" applyBorder="1" applyAlignment="1">
      <alignment horizontal="center" vertical="center"/>
    </xf>
    <xf numFmtId="0" fontId="76" fillId="32" borderId="21" xfId="87" applyFont="1" applyFill="1" applyBorder="1" applyAlignment="1">
      <alignment vertical="center"/>
    </xf>
    <xf numFmtId="0" fontId="76" fillId="32" borderId="14" xfId="87" applyFont="1" applyFill="1" applyBorder="1" applyAlignment="1">
      <alignment vertical="center"/>
    </xf>
    <xf numFmtId="0" fontId="62" fillId="0" borderId="28" xfId="87" applyFont="1" applyBorder="1" applyAlignment="1">
      <alignment vertical="center"/>
    </xf>
    <xf numFmtId="0" fontId="62" fillId="36" borderId="43" xfId="87" applyFont="1" applyFill="1" applyBorder="1" applyAlignment="1" applyProtection="1">
      <alignment horizontal="center" vertical="center"/>
      <protection hidden="1"/>
    </xf>
    <xf numFmtId="0" fontId="62" fillId="0" borderId="16" xfId="87" applyFont="1" applyBorder="1" applyAlignment="1" applyProtection="1">
      <alignment vertical="center"/>
      <protection hidden="1"/>
    </xf>
    <xf numFmtId="0" fontId="62" fillId="36" borderId="35" xfId="87" applyFont="1" applyFill="1" applyBorder="1" applyAlignment="1" applyProtection="1">
      <alignment horizontal="center" vertical="center"/>
      <protection hidden="1"/>
    </xf>
    <xf numFmtId="0" fontId="62" fillId="0" borderId="35" xfId="87" applyFont="1" applyBorder="1" applyAlignment="1" applyProtection="1">
      <alignment horizontal="center" vertical="center"/>
      <protection hidden="1"/>
    </xf>
    <xf numFmtId="0" fontId="62" fillId="36" borderId="49" xfId="87" applyFont="1" applyFill="1" applyBorder="1" applyAlignment="1" applyProtection="1">
      <alignment horizontal="center" vertical="center"/>
      <protection hidden="1"/>
    </xf>
    <xf numFmtId="0" fontId="62" fillId="0" borderId="53" xfId="87" applyFont="1" applyBorder="1" applyAlignment="1">
      <alignment vertical="center"/>
    </xf>
    <xf numFmtId="14" fontId="62" fillId="36" borderId="40" xfId="87" applyNumberFormat="1" applyFont="1" applyFill="1" applyBorder="1" applyAlignment="1" applyProtection="1">
      <alignment horizontal="center" vertical="center"/>
      <protection hidden="1"/>
    </xf>
    <xf numFmtId="0" fontId="62" fillId="0" borderId="0" xfId="87" applyFont="1" applyAlignment="1" applyProtection="1">
      <alignment vertical="center"/>
      <protection hidden="1"/>
    </xf>
    <xf numFmtId="14" fontId="62" fillId="36" borderId="10" xfId="87" applyNumberFormat="1" applyFont="1" applyFill="1" applyBorder="1" applyAlignment="1" applyProtection="1">
      <alignment horizontal="center" vertical="center"/>
      <protection hidden="1"/>
    </xf>
    <xf numFmtId="14" fontId="62" fillId="0" borderId="10" xfId="87" applyNumberFormat="1" applyFont="1" applyBorder="1" applyAlignment="1" applyProtection="1">
      <alignment horizontal="center" vertical="center"/>
      <protection hidden="1"/>
    </xf>
    <xf numFmtId="14" fontId="62" fillId="0" borderId="58" xfId="87" applyNumberFormat="1" applyFont="1" applyBorder="1" applyAlignment="1" applyProtection="1">
      <alignment horizontal="center" vertical="center"/>
      <protection hidden="1"/>
    </xf>
    <xf numFmtId="14" fontId="159" fillId="0" borderId="53" xfId="87" applyNumberFormat="1" applyFont="1" applyBorder="1" applyAlignment="1">
      <alignment vertical="center"/>
    </xf>
    <xf numFmtId="0" fontId="60" fillId="36" borderId="41" xfId="31" applyFill="1" applyBorder="1" applyAlignment="1" applyProtection="1">
      <alignment horizontal="center" vertical="center"/>
      <protection hidden="1"/>
    </xf>
    <xf numFmtId="0" fontId="62" fillId="0" borderId="71" xfId="87" applyFont="1" applyBorder="1" applyAlignment="1" applyProtection="1">
      <alignment vertical="center"/>
      <protection hidden="1"/>
    </xf>
    <xf numFmtId="168" fontId="78" fillId="0" borderId="36" xfId="87" applyNumberFormat="1" applyFont="1" applyBorder="1" applyAlignment="1" applyProtection="1">
      <alignment horizontal="center" vertical="center"/>
      <protection hidden="1"/>
    </xf>
    <xf numFmtId="0" fontId="60" fillId="50" borderId="36" xfId="31" applyFill="1" applyBorder="1" applyAlignment="1" applyProtection="1">
      <alignment horizontal="center" vertical="center"/>
      <protection hidden="1"/>
    </xf>
    <xf numFmtId="169" fontId="62" fillId="0" borderId="36" xfId="87" applyNumberFormat="1" applyFont="1" applyBorder="1" applyAlignment="1" applyProtection="1">
      <alignment horizontal="center" vertical="center"/>
      <protection hidden="1"/>
    </xf>
    <xf numFmtId="0" fontId="62" fillId="0" borderId="66" xfId="87" applyFont="1" applyBorder="1" applyAlignment="1" applyProtection="1">
      <alignment horizontal="center" vertical="center"/>
      <protection hidden="1"/>
    </xf>
    <xf numFmtId="0" fontId="62" fillId="36" borderId="40" xfId="87" applyFont="1" applyFill="1" applyBorder="1" applyAlignment="1" applyProtection="1">
      <alignment horizontal="center" vertical="center"/>
      <protection hidden="1"/>
    </xf>
    <xf numFmtId="0" fontId="62" fillId="0" borderId="10" xfId="87" applyFont="1" applyBorder="1" applyAlignment="1" applyProtection="1">
      <alignment horizontal="center" vertical="center"/>
      <protection hidden="1"/>
    </xf>
    <xf numFmtId="0" fontId="62" fillId="0" borderId="62" xfId="87" applyFont="1" applyBorder="1" applyAlignment="1" applyProtection="1">
      <alignment horizontal="center" vertical="center"/>
      <protection hidden="1"/>
    </xf>
    <xf numFmtId="0" fontId="161" fillId="0" borderId="53" xfId="87" applyFont="1" applyBorder="1" applyAlignment="1">
      <alignment vertical="center"/>
    </xf>
    <xf numFmtId="10" fontId="62" fillId="36" borderId="41" xfId="87" applyNumberFormat="1" applyFont="1" applyFill="1" applyBorder="1" applyAlignment="1" applyProtection="1">
      <alignment horizontal="center" vertical="center"/>
      <protection hidden="1"/>
    </xf>
    <xf numFmtId="0" fontId="79" fillId="0" borderId="36" xfId="87" applyFont="1" applyBorder="1" applyAlignment="1" applyProtection="1">
      <alignment horizontal="center" vertical="center"/>
      <protection hidden="1"/>
    </xf>
    <xf numFmtId="0" fontId="62" fillId="0" borderId="36" xfId="87" applyFont="1" applyBorder="1" applyAlignment="1" applyProtection="1">
      <alignment horizontal="center" vertical="center"/>
      <protection hidden="1"/>
    </xf>
    <xf numFmtId="0" fontId="62" fillId="0" borderId="63" xfId="87" applyFont="1" applyBorder="1" applyAlignment="1" applyProtection="1">
      <alignment horizontal="center" vertical="center"/>
      <protection hidden="1"/>
    </xf>
    <xf numFmtId="14" fontId="62" fillId="47" borderId="42" xfId="87" applyNumberFormat="1" applyFont="1" applyFill="1" applyBorder="1" applyAlignment="1" applyProtection="1">
      <alignment horizontal="center" vertical="center"/>
      <protection hidden="1"/>
    </xf>
    <xf numFmtId="0" fontId="62" fillId="44" borderId="18" xfId="87" applyFont="1" applyFill="1" applyBorder="1" applyAlignment="1" applyProtection="1">
      <alignment horizontal="center" vertical="center"/>
      <protection hidden="1"/>
    </xf>
    <xf numFmtId="0" fontId="60" fillId="44" borderId="18" xfId="31" applyFill="1" applyBorder="1" applyAlignment="1" applyProtection="1">
      <alignment horizontal="center" vertical="center"/>
      <protection hidden="1"/>
    </xf>
    <xf numFmtId="0" fontId="62" fillId="44" borderId="54" xfId="87" applyFont="1" applyFill="1" applyBorder="1" applyAlignment="1" applyProtection="1">
      <alignment horizontal="center" vertical="center"/>
      <protection hidden="1"/>
    </xf>
    <xf numFmtId="0" fontId="62" fillId="0" borderId="0" xfId="87" applyFont="1" applyAlignment="1" applyProtection="1">
      <alignment horizontal="center" vertical="center"/>
      <protection hidden="1"/>
    </xf>
    <xf numFmtId="0" fontId="62" fillId="0" borderId="53" xfId="87" applyFont="1" applyBorder="1" applyAlignment="1" applyProtection="1">
      <alignment horizontal="center" vertical="center"/>
      <protection hidden="1"/>
    </xf>
    <xf numFmtId="0" fontId="140" fillId="0" borderId="28" xfId="87" applyBorder="1" applyAlignment="1">
      <alignment vertical="center"/>
    </xf>
    <xf numFmtId="0" fontId="60" fillId="50" borderId="21" xfId="31" applyFill="1" applyBorder="1" applyAlignment="1" applyProtection="1">
      <alignment horizontal="center" vertical="center"/>
      <protection hidden="1"/>
    </xf>
    <xf numFmtId="0" fontId="140" fillId="0" borderId="21" xfId="87" applyBorder="1" applyAlignment="1" applyProtection="1">
      <alignment vertical="center"/>
      <protection hidden="1"/>
    </xf>
    <xf numFmtId="0" fontId="140" fillId="0" borderId="53" xfId="87" applyBorder="1" applyAlignment="1">
      <alignment vertical="center"/>
    </xf>
    <xf numFmtId="0" fontId="60" fillId="50" borderId="21" xfId="31" applyFill="1" applyBorder="1" applyAlignment="1" applyProtection="1">
      <alignment vertical="center"/>
      <protection hidden="1"/>
    </xf>
    <xf numFmtId="0" fontId="62" fillId="0" borderId="72" xfId="87" applyFont="1" applyBorder="1" applyAlignment="1">
      <alignment vertical="center"/>
    </xf>
    <xf numFmtId="0" fontId="62" fillId="0" borderId="0" xfId="87" applyFont="1" applyAlignment="1">
      <alignment vertical="center"/>
    </xf>
    <xf numFmtId="0" fontId="162" fillId="0" borderId="0" xfId="87" applyFont="1" applyAlignment="1" applyProtection="1">
      <alignment vertical="center"/>
      <protection hidden="1"/>
    </xf>
    <xf numFmtId="0" fontId="140" fillId="0" borderId="0" xfId="87" applyAlignment="1" applyProtection="1">
      <alignment vertical="center"/>
      <protection hidden="1"/>
    </xf>
    <xf numFmtId="0" fontId="140" fillId="0" borderId="15" xfId="87" applyBorder="1" applyAlignment="1">
      <alignment vertical="center"/>
    </xf>
    <xf numFmtId="0" fontId="140" fillId="0" borderId="21" xfId="87" applyBorder="1" applyAlignment="1" applyProtection="1">
      <alignment horizontal="center" vertical="center"/>
      <protection hidden="1"/>
    </xf>
    <xf numFmtId="0" fontId="140" fillId="0" borderId="16" xfId="87" applyBorder="1" applyAlignment="1" applyProtection="1">
      <alignment vertical="center"/>
      <protection hidden="1"/>
    </xf>
    <xf numFmtId="0" fontId="1" fillId="0" borderId="21" xfId="87" applyFont="1" applyBorder="1" applyAlignment="1" applyProtection="1">
      <alignment horizontal="center" vertical="center"/>
      <protection hidden="1"/>
    </xf>
    <xf numFmtId="0" fontId="163" fillId="0" borderId="21" xfId="87" applyFont="1" applyBorder="1" applyAlignment="1" applyProtection="1">
      <alignment horizontal="center" vertical="center"/>
      <protection hidden="1"/>
    </xf>
    <xf numFmtId="0" fontId="163" fillId="0" borderId="17" xfId="87" applyFont="1" applyBorder="1" applyAlignment="1" applyProtection="1">
      <alignment horizontal="center" vertical="center"/>
      <protection locked="0"/>
    </xf>
    <xf numFmtId="0" fontId="140" fillId="0" borderId="71" xfId="87" applyBorder="1" applyAlignment="1" applyProtection="1">
      <alignment vertical="center"/>
      <protection hidden="1"/>
    </xf>
    <xf numFmtId="0" fontId="1" fillId="0" borderId="53" xfId="87" applyFont="1" applyBorder="1" applyAlignment="1" applyProtection="1">
      <alignment horizontal="center" vertical="center"/>
      <protection locked="0"/>
    </xf>
    <xf numFmtId="0" fontId="140" fillId="0" borderId="0" xfId="87" applyAlignment="1" applyProtection="1">
      <alignment horizontal="center" vertical="center"/>
      <protection hidden="1"/>
    </xf>
    <xf numFmtId="0" fontId="1" fillId="0" borderId="0" xfId="87" applyFont="1" applyAlignment="1" applyProtection="1">
      <alignment horizontal="center" vertical="center"/>
      <protection hidden="1"/>
    </xf>
    <xf numFmtId="0" fontId="164" fillId="0" borderId="53" xfId="87" applyFont="1" applyBorder="1" applyAlignment="1">
      <alignment horizontal="center" vertical="center"/>
    </xf>
    <xf numFmtId="0" fontId="12" fillId="29" borderId="53" xfId="52" applyFont="1" applyFill="1" applyBorder="1" applyAlignment="1" applyProtection="1">
      <alignment horizontal="center"/>
      <protection hidden="1"/>
    </xf>
    <xf numFmtId="0" fontId="140" fillId="0" borderId="72" xfId="87" applyBorder="1" applyAlignment="1">
      <alignment vertical="center"/>
    </xf>
    <xf numFmtId="0" fontId="11" fillId="29" borderId="0" xfId="62" applyFont="1" applyFill="1" applyAlignment="1">
      <alignment horizontal="right" vertical="center"/>
    </xf>
    <xf numFmtId="0" fontId="166" fillId="0" borderId="0" xfId="87" applyFont="1" applyAlignment="1">
      <alignment vertical="center"/>
    </xf>
    <xf numFmtId="0" fontId="167" fillId="0" borderId="0" xfId="31" applyFont="1" applyAlignment="1">
      <alignment vertical="center"/>
    </xf>
    <xf numFmtId="0" fontId="167" fillId="0" borderId="0" xfId="31" applyFont="1" applyBorder="1" applyAlignment="1">
      <alignment vertical="center"/>
    </xf>
    <xf numFmtId="14" fontId="166" fillId="0" borderId="0" xfId="87" applyNumberFormat="1" applyFont="1" applyAlignment="1">
      <alignment vertical="center"/>
    </xf>
    <xf numFmtId="14" fontId="140" fillId="0" borderId="0" xfId="87" applyNumberFormat="1" applyAlignment="1">
      <alignment vertical="center"/>
    </xf>
    <xf numFmtId="14" fontId="62" fillId="47" borderId="43" xfId="87" applyNumberFormat="1" applyFont="1" applyFill="1" applyBorder="1" applyAlignment="1" applyProtection="1">
      <alignment horizontal="center" vertical="center"/>
      <protection hidden="1"/>
    </xf>
    <xf numFmtId="0" fontId="62" fillId="44" borderId="35" xfId="87" applyFont="1" applyFill="1" applyBorder="1" applyAlignment="1" applyProtection="1">
      <alignment horizontal="center" vertical="center"/>
      <protection hidden="1"/>
    </xf>
    <xf numFmtId="0" fontId="60" fillId="44" borderId="35" xfId="31" applyFill="1" applyBorder="1" applyAlignment="1" applyProtection="1">
      <alignment horizontal="center" vertical="center"/>
      <protection hidden="1"/>
    </xf>
    <xf numFmtId="0" fontId="62" fillId="44" borderId="49" xfId="87" applyFont="1" applyFill="1" applyBorder="1" applyAlignment="1" applyProtection="1">
      <alignment horizontal="center" vertical="center"/>
      <protection hidden="1"/>
    </xf>
    <xf numFmtId="14" fontId="62" fillId="47" borderId="45" xfId="87" applyNumberFormat="1" applyFont="1" applyFill="1" applyBorder="1" applyAlignment="1" applyProtection="1">
      <alignment horizontal="center" vertical="center"/>
      <protection hidden="1"/>
    </xf>
    <xf numFmtId="0" fontId="78" fillId="0" borderId="10" xfId="87" applyFont="1" applyBorder="1" applyAlignment="1" applyProtection="1">
      <alignment horizontal="center" vertical="center"/>
      <protection hidden="1"/>
    </xf>
    <xf numFmtId="0" fontId="78" fillId="50" borderId="12" xfId="87" applyFont="1" applyFill="1" applyBorder="1" applyAlignment="1">
      <alignment horizontal="center" vertical="center"/>
    </xf>
    <xf numFmtId="0" fontId="103" fillId="43" borderId="12" xfId="69" applyFont="1" applyFill="1" applyBorder="1" applyAlignment="1">
      <alignment horizontal="center" vertical="center"/>
    </xf>
    <xf numFmtId="0" fontId="113" fillId="34" borderId="15" xfId="69" applyFont="1" applyFill="1" applyBorder="1" applyAlignment="1">
      <alignment horizontal="center" vertical="center"/>
    </xf>
    <xf numFmtId="0" fontId="127" fillId="31" borderId="31" xfId="71" applyFont="1" applyFill="1" applyBorder="1" applyAlignment="1" applyProtection="1">
      <alignment horizontal="center" vertical="center" wrapText="1"/>
      <protection hidden="1"/>
    </xf>
    <xf numFmtId="0" fontId="132" fillId="31" borderId="17" xfId="71" applyFont="1" applyFill="1" applyBorder="1" applyAlignment="1" applyProtection="1">
      <alignment vertical="center" wrapText="1"/>
      <protection hidden="1"/>
    </xf>
    <xf numFmtId="0" fontId="11" fillId="29" borderId="0" xfId="71" applyFont="1" applyFill="1" applyProtection="1">
      <protection hidden="1"/>
    </xf>
    <xf numFmtId="0" fontId="11" fillId="29" borderId="64" xfId="71" applyFont="1" applyFill="1" applyBorder="1" applyAlignment="1" applyProtection="1">
      <alignment horizontal="center"/>
      <protection hidden="1"/>
    </xf>
    <xf numFmtId="0" fontId="13" fillId="37" borderId="21" xfId="0" applyFont="1" applyFill="1" applyBorder="1" applyAlignment="1" applyProtection="1">
      <alignment horizontal="center" vertical="center"/>
      <protection hidden="1"/>
    </xf>
    <xf numFmtId="14" fontId="35" fillId="36" borderId="32" xfId="52" applyNumberFormat="1" applyFill="1" applyBorder="1" applyAlignment="1" applyProtection="1">
      <alignment horizontal="center" vertical="center"/>
      <protection locked="0" hidden="1"/>
    </xf>
    <xf numFmtId="1" fontId="106" fillId="0" borderId="23" xfId="69" applyNumberFormat="1" applyFont="1" applyBorder="1" applyAlignment="1" applyProtection="1">
      <alignment horizontal="center" vertical="center"/>
      <protection locked="0"/>
    </xf>
    <xf numFmtId="1" fontId="104" fillId="0" borderId="24" xfId="69" applyNumberFormat="1" applyFont="1" applyBorder="1" applyAlignment="1" applyProtection="1">
      <alignment horizontal="center" vertical="center"/>
      <protection locked="0"/>
    </xf>
    <xf numFmtId="164" fontId="35" fillId="29" borderId="0" xfId="32" applyFont="1" applyFill="1" applyBorder="1" applyAlignment="1">
      <alignment horizontal="center" vertical="center"/>
    </xf>
    <xf numFmtId="164" fontId="35" fillId="29" borderId="53" xfId="32" applyFont="1" applyFill="1" applyBorder="1" applyAlignment="1">
      <alignment horizontal="center" vertical="center"/>
    </xf>
    <xf numFmtId="164" fontId="35" fillId="29" borderId="10" xfId="32" applyFont="1" applyFill="1" applyBorder="1" applyAlignment="1" applyProtection="1">
      <alignment vertical="center"/>
      <protection locked="0"/>
    </xf>
    <xf numFmtId="0" fontId="0" fillId="29" borderId="72" xfId="0" applyFill="1" applyBorder="1" applyAlignment="1">
      <alignment vertical="center"/>
    </xf>
    <xf numFmtId="0" fontId="0" fillId="29" borderId="71" xfId="0" applyFill="1" applyBorder="1" applyAlignment="1">
      <alignment vertical="center"/>
    </xf>
    <xf numFmtId="168" fontId="42" fillId="0" borderId="72" xfId="0" applyNumberFormat="1" applyFont="1" applyBorder="1" applyAlignment="1" applyProtection="1">
      <alignment horizontal="right" vertical="center"/>
      <protection hidden="1"/>
    </xf>
    <xf numFmtId="0" fontId="50" fillId="32" borderId="29" xfId="0" applyFont="1" applyFill="1" applyBorder="1" applyAlignment="1" applyProtection="1">
      <alignment horizontal="center" vertical="center"/>
      <protection locked="0"/>
    </xf>
    <xf numFmtId="0" fontId="16" fillId="29" borderId="58" xfId="0" applyFont="1" applyFill="1" applyBorder="1" applyAlignment="1">
      <alignment horizontal="center" vertical="center"/>
    </xf>
    <xf numFmtId="175" fontId="90" fillId="32" borderId="20" xfId="0" applyNumberFormat="1" applyFont="1" applyFill="1" applyBorder="1" applyAlignment="1" applyProtection="1">
      <alignment horizontal="center" vertical="center"/>
      <protection locked="0"/>
    </xf>
    <xf numFmtId="0" fontId="16" fillId="34" borderId="46" xfId="0" applyFont="1" applyFill="1" applyBorder="1" applyAlignment="1">
      <alignment horizontal="center" vertical="center"/>
    </xf>
    <xf numFmtId="0" fontId="50" fillId="32" borderId="10" xfId="0" applyFont="1" applyFill="1" applyBorder="1" applyAlignment="1" applyProtection="1">
      <alignment horizontal="center" vertical="center"/>
      <protection locked="0"/>
    </xf>
    <xf numFmtId="0" fontId="50" fillId="31" borderId="33" xfId="0" applyFont="1" applyFill="1" applyBorder="1" applyAlignment="1">
      <alignment horizontal="center" vertical="center"/>
    </xf>
    <xf numFmtId="0" fontId="50" fillId="34" borderId="40" xfId="0" applyFont="1" applyFill="1" applyBorder="1" applyAlignment="1" applyProtection="1">
      <alignment horizontal="center" vertical="center"/>
      <protection locked="0"/>
    </xf>
    <xf numFmtId="0" fontId="35" fillId="0" borderId="0" xfId="0" applyFont="1" applyAlignment="1" applyProtection="1">
      <alignment horizontal="center" vertical="center"/>
      <protection hidden="1"/>
    </xf>
    <xf numFmtId="0" fontId="0" fillId="29" borderId="33" xfId="0" applyFill="1" applyBorder="1" applyAlignment="1" applyProtection="1">
      <alignment horizontal="left" vertical="center"/>
      <protection locked="0"/>
    </xf>
    <xf numFmtId="0" fontId="0" fillId="29" borderId="11" xfId="0" applyFill="1" applyBorder="1" applyAlignment="1" applyProtection="1">
      <alignment horizontal="left" vertical="center"/>
      <protection locked="0"/>
    </xf>
    <xf numFmtId="0" fontId="0" fillId="29" borderId="58" xfId="0" applyFill="1" applyBorder="1" applyAlignment="1" applyProtection="1">
      <alignment horizontal="left" vertical="center"/>
      <protection locked="0"/>
    </xf>
    <xf numFmtId="0" fontId="0" fillId="29" borderId="28" xfId="0" applyFill="1" applyBorder="1" applyAlignment="1">
      <alignment horizontal="left" vertical="center"/>
    </xf>
    <xf numFmtId="0" fontId="0" fillId="29" borderId="0" xfId="0" applyFill="1" applyAlignment="1">
      <alignment horizontal="left" vertical="center"/>
    </xf>
    <xf numFmtId="0" fontId="0" fillId="29" borderId="33" xfId="0" applyFill="1" applyBorder="1" applyAlignment="1" applyProtection="1">
      <alignment horizontal="center" vertical="center"/>
      <protection locked="0"/>
    </xf>
    <xf numFmtId="0" fontId="0" fillId="29" borderId="11" xfId="0" applyFill="1" applyBorder="1" applyAlignment="1" applyProtection="1">
      <alignment horizontal="center" vertical="center"/>
      <protection locked="0"/>
    </xf>
    <xf numFmtId="164" fontId="35" fillId="29" borderId="10" xfId="32" applyFont="1" applyFill="1" applyBorder="1" applyAlignment="1" applyProtection="1">
      <alignment horizontal="center" vertical="center"/>
      <protection locked="0"/>
    </xf>
    <xf numFmtId="0" fontId="0" fillId="29" borderId="58" xfId="0" applyFill="1" applyBorder="1" applyAlignment="1" applyProtection="1">
      <alignment horizontal="center" vertical="center"/>
      <protection locked="0"/>
    </xf>
    <xf numFmtId="0" fontId="50" fillId="29" borderId="29" xfId="0" applyFont="1" applyFill="1" applyBorder="1" applyAlignment="1">
      <alignment horizontal="center" vertical="center"/>
    </xf>
    <xf numFmtId="0" fontId="50" fillId="29" borderId="20" xfId="0" applyFont="1" applyFill="1" applyBorder="1" applyAlignment="1" applyProtection="1">
      <alignment horizontal="center" vertical="center"/>
      <protection locked="0"/>
    </xf>
    <xf numFmtId="0" fontId="50" fillId="29" borderId="29" xfId="0" applyFont="1" applyFill="1" applyBorder="1" applyAlignment="1" applyProtection="1">
      <alignment horizontal="center" vertical="center"/>
      <protection locked="0"/>
    </xf>
    <xf numFmtId="0" fontId="50" fillId="0" borderId="0" xfId="0" applyFont="1" applyAlignment="1" applyProtection="1">
      <alignment horizontal="left" vertical="center"/>
      <protection hidden="1"/>
    </xf>
    <xf numFmtId="0" fontId="16" fillId="33" borderId="14" xfId="0" applyFont="1" applyFill="1" applyBorder="1" applyAlignment="1" applyProtection="1">
      <alignment horizontal="center" vertical="center"/>
      <protection hidden="1"/>
    </xf>
    <xf numFmtId="0" fontId="16" fillId="29" borderId="58" xfId="0" applyFont="1" applyFill="1" applyBorder="1" applyAlignment="1" applyProtection="1">
      <alignment horizontal="center" vertical="center"/>
      <protection locked="0"/>
    </xf>
    <xf numFmtId="0" fontId="50" fillId="29" borderId="18" xfId="0" applyFont="1" applyFill="1" applyBorder="1" applyAlignment="1" applyProtection="1">
      <alignment horizontal="center" vertical="center"/>
      <protection locked="0"/>
    </xf>
    <xf numFmtId="0" fontId="16" fillId="34" borderId="30" xfId="0" applyFont="1" applyFill="1" applyBorder="1" applyAlignment="1">
      <alignment horizontal="center" vertical="center"/>
    </xf>
    <xf numFmtId="0" fontId="50" fillId="29" borderId="35" xfId="0" applyFont="1" applyFill="1" applyBorder="1" applyAlignment="1" applyProtection="1">
      <alignment horizontal="center" vertical="center"/>
      <protection locked="0"/>
    </xf>
    <xf numFmtId="0" fontId="50" fillId="0" borderId="0" xfId="0" applyFont="1" applyAlignment="1" applyProtection="1">
      <alignment horizontal="right" vertical="center"/>
      <protection hidden="1"/>
    </xf>
    <xf numFmtId="0" fontId="50" fillId="0" borderId="53" xfId="0" applyFont="1" applyBorder="1" applyAlignment="1" applyProtection="1">
      <alignment horizontal="right" vertical="center"/>
      <protection hidden="1"/>
    </xf>
    <xf numFmtId="0" fontId="46" fillId="31" borderId="13" xfId="0" applyFont="1" applyFill="1" applyBorder="1" applyAlignment="1">
      <alignment horizontal="center" vertical="center"/>
    </xf>
    <xf numFmtId="0" fontId="26" fillId="31" borderId="12" xfId="59" applyFont="1" applyFill="1" applyBorder="1" applyAlignment="1">
      <alignment horizontal="center" vertical="center"/>
    </xf>
    <xf numFmtId="0" fontId="26" fillId="0" borderId="28" xfId="59" applyFont="1" applyBorder="1" applyAlignment="1">
      <alignment horizontal="right" vertical="center"/>
    </xf>
    <xf numFmtId="0" fontId="26" fillId="0" borderId="0" xfId="59" applyFont="1" applyAlignment="1">
      <alignment horizontal="right" vertical="center"/>
    </xf>
    <xf numFmtId="0" fontId="26" fillId="0" borderId="53" xfId="59" applyFont="1" applyBorder="1" applyAlignment="1">
      <alignment horizontal="right" vertical="center"/>
    </xf>
    <xf numFmtId="0" fontId="35" fillId="0" borderId="0" xfId="59" applyAlignment="1">
      <alignment horizontal="center" vertical="center"/>
    </xf>
    <xf numFmtId="0" fontId="35" fillId="0" borderId="53" xfId="59" applyBorder="1" applyAlignment="1">
      <alignment horizontal="center" vertical="center"/>
    </xf>
    <xf numFmtId="0" fontId="50" fillId="0" borderId="0" xfId="59" applyFont="1" applyAlignment="1">
      <alignment horizontal="left" vertical="center"/>
    </xf>
    <xf numFmtId="0" fontId="16" fillId="36" borderId="14" xfId="87" applyFont="1" applyFill="1" applyBorder="1" applyAlignment="1" applyProtection="1">
      <alignment horizontal="center" vertical="center"/>
      <protection hidden="1"/>
    </xf>
    <xf numFmtId="0" fontId="50" fillId="0" borderId="0" xfId="87" applyFont="1" applyAlignment="1">
      <alignment horizontal="right" vertical="center"/>
    </xf>
    <xf numFmtId="0" fontId="35" fillId="0" borderId="12" xfId="87" applyFont="1" applyBorder="1" applyAlignment="1">
      <alignment horizontal="center" vertical="center"/>
    </xf>
    <xf numFmtId="0" fontId="35" fillId="0" borderId="14" xfId="87" applyFont="1" applyBorder="1" applyAlignment="1">
      <alignment horizontal="center" vertical="center"/>
    </xf>
    <xf numFmtId="0" fontId="91" fillId="36" borderId="14" xfId="87" applyFont="1" applyFill="1" applyBorder="1" applyAlignment="1">
      <alignment horizontal="center" vertical="center"/>
    </xf>
    <xf numFmtId="0" fontId="35" fillId="0" borderId="13" xfId="87" applyFont="1" applyBorder="1" applyAlignment="1">
      <alignment horizontal="center" vertical="center"/>
    </xf>
    <xf numFmtId="0" fontId="40" fillId="0" borderId="72" xfId="87" applyFont="1" applyBorder="1" applyAlignment="1">
      <alignment horizontal="center" vertical="center"/>
    </xf>
    <xf numFmtId="0" fontId="40" fillId="0" borderId="71" xfId="87" applyFont="1" applyBorder="1" applyAlignment="1">
      <alignment horizontal="center" vertical="center"/>
    </xf>
    <xf numFmtId="0" fontId="16" fillId="0" borderId="0" xfId="53" applyFont="1" applyAlignment="1">
      <alignment horizontal="left" vertical="center"/>
    </xf>
    <xf numFmtId="0" fontId="26" fillId="36" borderId="12" xfId="53" applyFont="1" applyFill="1" applyBorder="1" applyAlignment="1">
      <alignment horizontal="center"/>
    </xf>
    <xf numFmtId="0" fontId="1" fillId="0" borderId="14" xfId="87" applyFont="1" applyBorder="1" applyAlignment="1" applyProtection="1">
      <alignment horizontal="center" vertical="center"/>
      <protection hidden="1"/>
    </xf>
    <xf numFmtId="10" fontId="100" fillId="29" borderId="0" xfId="53" applyNumberFormat="1" applyFont="1" applyFill="1" applyAlignment="1">
      <alignment horizontal="center"/>
    </xf>
    <xf numFmtId="0" fontId="0" fillId="29" borderId="79" xfId="0" applyFill="1" applyBorder="1" applyAlignment="1">
      <alignment vertical="center"/>
    </xf>
    <xf numFmtId="0" fontId="45" fillId="0" borderId="79" xfId="0" applyFont="1" applyBorder="1" applyAlignment="1" applyProtection="1">
      <alignment vertical="center"/>
      <protection hidden="1"/>
    </xf>
    <xf numFmtId="169" fontId="38" fillId="0" borderId="79" xfId="0" applyNumberFormat="1" applyFont="1" applyBorder="1" applyAlignment="1" applyProtection="1">
      <alignment horizontal="left" vertical="center"/>
      <protection hidden="1"/>
    </xf>
    <xf numFmtId="4" fontId="26" fillId="36" borderId="79" xfId="54" applyNumberFormat="1" applyFont="1" applyFill="1" applyBorder="1" applyAlignment="1" applyProtection="1">
      <alignment vertical="center"/>
      <protection hidden="1"/>
    </xf>
    <xf numFmtId="0" fontId="35" fillId="0" borderId="79" xfId="53" applyBorder="1"/>
    <xf numFmtId="0" fontId="62" fillId="0" borderId="79" xfId="87" applyFont="1" applyBorder="1" applyAlignment="1">
      <alignment vertical="center"/>
    </xf>
    <xf numFmtId="0" fontId="12" fillId="29" borderId="79" xfId="52" applyFont="1" applyFill="1" applyBorder="1" applyAlignment="1" applyProtection="1">
      <alignment horizontal="center"/>
      <protection hidden="1"/>
    </xf>
    <xf numFmtId="0" fontId="50" fillId="31" borderId="80" xfId="0" applyFont="1" applyFill="1" applyBorder="1" applyAlignment="1" applyProtection="1">
      <alignment horizontal="center" vertical="center"/>
      <protection locked="0"/>
    </xf>
    <xf numFmtId="164" fontId="35" fillId="31" borderId="81" xfId="32" applyFont="1" applyFill="1" applyBorder="1" applyAlignment="1" applyProtection="1">
      <alignment horizontal="center" vertical="center"/>
      <protection locked="0"/>
    </xf>
    <xf numFmtId="2" fontId="62" fillId="29" borderId="86" xfId="0" applyNumberFormat="1" applyFont="1" applyFill="1" applyBorder="1" applyAlignment="1">
      <alignment vertical="center"/>
    </xf>
    <xf numFmtId="0" fontId="63" fillId="29" borderId="84" xfId="0" applyFont="1" applyFill="1" applyBorder="1" applyAlignment="1">
      <alignment vertical="center"/>
    </xf>
    <xf numFmtId="0" fontId="50" fillId="29" borderId="81" xfId="0" applyFont="1" applyFill="1" applyBorder="1" applyAlignment="1" applyProtection="1">
      <alignment horizontal="center" vertical="center"/>
      <protection locked="0"/>
    </xf>
    <xf numFmtId="14" fontId="50" fillId="29" borderId="81" xfId="0" applyNumberFormat="1" applyFont="1" applyFill="1" applyBorder="1" applyAlignment="1" applyProtection="1">
      <alignment horizontal="center" vertical="center"/>
      <protection locked="0"/>
    </xf>
    <xf numFmtId="0" fontId="0" fillId="0" borderId="83" xfId="0" applyBorder="1" applyAlignment="1" applyProtection="1">
      <alignment vertical="center"/>
      <protection hidden="1"/>
    </xf>
    <xf numFmtId="0" fontId="0" fillId="0" borderId="84" xfId="0" applyBorder="1" applyAlignment="1" applyProtection="1">
      <alignment vertical="center"/>
      <protection hidden="1"/>
    </xf>
    <xf numFmtId="0" fontId="0" fillId="0" borderId="87" xfId="0" applyBorder="1" applyAlignment="1" applyProtection="1">
      <alignment vertical="center"/>
      <protection hidden="1"/>
    </xf>
    <xf numFmtId="0" fontId="35" fillId="0" borderId="84" xfId="0" applyFont="1" applyBorder="1" applyAlignment="1" applyProtection="1">
      <alignment vertical="center"/>
      <protection hidden="1"/>
    </xf>
    <xf numFmtId="4" fontId="26" fillId="36" borderId="80" xfId="54" applyNumberFormat="1" applyFont="1" applyFill="1" applyBorder="1" applyAlignment="1" applyProtection="1">
      <alignment vertical="center"/>
      <protection hidden="1"/>
    </xf>
    <xf numFmtId="0" fontId="26" fillId="0" borderId="81" xfId="54" applyFont="1" applyBorder="1" applyAlignment="1" applyProtection="1">
      <alignment vertical="center"/>
      <protection locked="0" hidden="1"/>
    </xf>
    <xf numFmtId="0" fontId="35" fillId="0" borderId="86" xfId="59" applyBorder="1" applyAlignment="1">
      <alignment vertical="center"/>
    </xf>
    <xf numFmtId="0" fontId="35" fillId="0" borderId="84" xfId="59" applyBorder="1" applyAlignment="1">
      <alignment vertical="center"/>
    </xf>
    <xf numFmtId="0" fontId="35" fillId="0" borderId="85" xfId="59" applyBorder="1" applyAlignment="1">
      <alignment vertical="center"/>
    </xf>
    <xf numFmtId="4" fontId="26" fillId="0" borderId="81" xfId="53" applyNumberFormat="1" applyFont="1" applyBorder="1" applyProtection="1">
      <protection locked="0"/>
    </xf>
    <xf numFmtId="0" fontId="104" fillId="0" borderId="35" xfId="69" applyFont="1" applyBorder="1" applyAlignment="1" applyProtection="1">
      <alignment horizontal="center" vertical="center"/>
      <protection locked="0"/>
    </xf>
    <xf numFmtId="0" fontId="150" fillId="45" borderId="13" xfId="68" applyFont="1" applyFill="1" applyBorder="1" applyAlignment="1">
      <alignment horizontal="center" vertical="center"/>
    </xf>
    <xf numFmtId="10" fontId="11" fillId="39" borderId="27" xfId="68" applyNumberFormat="1" applyFont="1" applyFill="1" applyBorder="1" applyAlignment="1" applyProtection="1">
      <alignment horizontal="center" vertical="center"/>
      <protection locked="0"/>
    </xf>
    <xf numFmtId="10" fontId="11" fillId="39" borderId="54" xfId="68" applyNumberFormat="1" applyFont="1" applyFill="1" applyBorder="1" applyAlignment="1" applyProtection="1">
      <alignment horizontal="center" vertical="center"/>
      <protection locked="0"/>
    </xf>
    <xf numFmtId="0" fontId="16" fillId="36" borderId="40" xfId="52" applyFont="1" applyFill="1" applyBorder="1" applyAlignment="1" applyProtection="1">
      <alignment horizontal="center" vertical="center"/>
      <protection locked="0" hidden="1"/>
    </xf>
    <xf numFmtId="10" fontId="35" fillId="0" borderId="0" xfId="59" applyNumberFormat="1" applyAlignment="1">
      <alignment vertical="center"/>
    </xf>
    <xf numFmtId="10" fontId="26" fillId="41" borderId="10" xfId="52" applyNumberFormat="1" applyFont="1" applyFill="1" applyBorder="1" applyAlignment="1" applyProtection="1">
      <alignment horizontal="center" vertical="center"/>
      <protection hidden="1"/>
    </xf>
    <xf numFmtId="10" fontId="26" fillId="29" borderId="10" xfId="52" applyNumberFormat="1" applyFont="1" applyFill="1" applyBorder="1" applyAlignment="1" applyProtection="1">
      <alignment horizontal="center" vertical="center"/>
      <protection hidden="1"/>
    </xf>
    <xf numFmtId="10" fontId="26" fillId="29" borderId="36" xfId="52" applyNumberFormat="1" applyFont="1" applyFill="1" applyBorder="1" applyAlignment="1" applyProtection="1">
      <alignment horizontal="center" vertical="center"/>
      <protection hidden="1"/>
    </xf>
    <xf numFmtId="10" fontId="26" fillId="0" borderId="35" xfId="52" applyNumberFormat="1" applyFont="1" applyBorder="1" applyAlignment="1" applyProtection="1">
      <alignment horizontal="center" vertical="center"/>
      <protection locked="0" hidden="1"/>
    </xf>
    <xf numFmtId="10" fontId="26" fillId="0" borderId="18" xfId="52" applyNumberFormat="1" applyFont="1" applyBorder="1" applyAlignment="1" applyProtection="1">
      <alignment horizontal="center" vertical="center"/>
      <protection locked="0" hidden="1"/>
    </xf>
    <xf numFmtId="10" fontId="26" fillId="0" borderId="10" xfId="54" applyNumberFormat="1" applyFont="1" applyBorder="1" applyAlignment="1" applyProtection="1">
      <alignment horizontal="center" vertical="center"/>
      <protection locked="0" hidden="1"/>
    </xf>
    <xf numFmtId="0" fontId="26" fillId="0" borderId="10" xfId="54" applyFont="1" applyBorder="1" applyAlignment="1" applyProtection="1">
      <alignment horizontal="center" vertical="center"/>
      <protection locked="0" hidden="1"/>
    </xf>
    <xf numFmtId="0" fontId="26" fillId="0" borderId="81" xfId="54" applyFont="1" applyBorder="1" applyAlignment="1" applyProtection="1">
      <alignment horizontal="center" vertical="center"/>
      <protection locked="0" hidden="1"/>
    </xf>
    <xf numFmtId="10" fontId="26" fillId="37" borderId="0" xfId="59" applyNumberFormat="1" applyFont="1" applyFill="1" applyAlignment="1">
      <alignment horizontal="center" vertical="center"/>
    </xf>
    <xf numFmtId="4" fontId="26" fillId="29" borderId="32" xfId="54" applyNumberFormat="1" applyFont="1" applyFill="1" applyBorder="1" applyAlignment="1" applyProtection="1">
      <alignment vertical="center"/>
      <protection locked="0" hidden="1"/>
    </xf>
    <xf numFmtId="4" fontId="26" fillId="37" borderId="32" xfId="54" applyNumberFormat="1" applyFont="1" applyFill="1" applyBorder="1" applyAlignment="1" applyProtection="1">
      <alignment vertical="center"/>
      <protection locked="0" hidden="1"/>
    </xf>
    <xf numFmtId="0" fontId="50" fillId="0" borderId="0" xfId="0" applyFont="1" applyProtection="1">
      <protection locked="0"/>
    </xf>
    <xf numFmtId="0" fontId="0" fillId="0" borderId="0" xfId="0" applyProtection="1">
      <protection locked="0"/>
    </xf>
    <xf numFmtId="14" fontId="0" fillId="0" borderId="0" xfId="0" applyNumberFormat="1" applyProtection="1">
      <protection locked="0"/>
    </xf>
    <xf numFmtId="0" fontId="35" fillId="0" borderId="0" xfId="0" applyFont="1" applyProtection="1">
      <protection locked="0"/>
    </xf>
    <xf numFmtId="4" fontId="0" fillId="0" borderId="0" xfId="0" applyNumberFormat="1" applyProtection="1">
      <protection locked="0"/>
    </xf>
    <xf numFmtId="0" fontId="38" fillId="0" borderId="0" xfId="0" applyFont="1" applyProtection="1">
      <protection locked="0"/>
    </xf>
    <xf numFmtId="14" fontId="35" fillId="0" borderId="0" xfId="0" applyNumberFormat="1" applyFont="1" applyProtection="1">
      <protection locked="0"/>
    </xf>
    <xf numFmtId="0" fontId="11" fillId="0" borderId="0" xfId="0" applyFont="1" applyProtection="1">
      <protection locked="0"/>
    </xf>
    <xf numFmtId="10" fontId="11" fillId="0" borderId="0" xfId="0" applyNumberFormat="1" applyFont="1" applyProtection="1">
      <protection locked="0"/>
    </xf>
    <xf numFmtId="4" fontId="11" fillId="0" borderId="0" xfId="0" applyNumberFormat="1" applyFont="1" applyProtection="1">
      <protection locked="0"/>
    </xf>
    <xf numFmtId="43" fontId="11" fillId="0" borderId="0" xfId="0" applyNumberFormat="1" applyFont="1" applyProtection="1">
      <protection locked="0"/>
    </xf>
    <xf numFmtId="0" fontId="12" fillId="37" borderId="12" xfId="0" applyFont="1" applyFill="1" applyBorder="1" applyAlignment="1" applyProtection="1">
      <alignment horizontal="center" vertical="center"/>
      <protection hidden="1"/>
    </xf>
    <xf numFmtId="4" fontId="9" fillId="39" borderId="12" xfId="0" applyNumberFormat="1" applyFont="1" applyFill="1" applyBorder="1" applyAlignment="1" applyProtection="1">
      <alignment vertical="center"/>
      <protection locked="0"/>
    </xf>
    <xf numFmtId="4" fontId="9" fillId="39" borderId="14" xfId="0" applyNumberFormat="1" applyFont="1" applyFill="1" applyBorder="1" applyAlignment="1" applyProtection="1">
      <alignment vertical="center"/>
      <protection locked="0"/>
    </xf>
    <xf numFmtId="4" fontId="12" fillId="39" borderId="28" xfId="0" applyNumberFormat="1" applyFont="1" applyFill="1" applyBorder="1" applyAlignment="1" applyProtection="1">
      <alignment vertical="center"/>
      <protection locked="0"/>
    </xf>
    <xf numFmtId="0" fontId="0" fillId="39" borderId="0" xfId="0" applyFill="1" applyAlignment="1" applyProtection="1">
      <alignment vertical="center"/>
      <protection locked="0"/>
    </xf>
    <xf numFmtId="0" fontId="0" fillId="0" borderId="0" xfId="0" applyAlignment="1" applyProtection="1">
      <alignment vertical="center"/>
      <protection locked="0"/>
    </xf>
    <xf numFmtId="4" fontId="41" fillId="38" borderId="16" xfId="0" applyNumberFormat="1" applyFont="1" applyFill="1" applyBorder="1" applyAlignment="1" applyProtection="1">
      <alignment horizontal="center" vertical="center"/>
      <protection locked="0" hidden="1"/>
    </xf>
    <xf numFmtId="4" fontId="52" fillId="38" borderId="31" xfId="0" applyNumberFormat="1" applyFont="1" applyFill="1" applyBorder="1" applyAlignment="1" applyProtection="1">
      <alignment horizontal="center" vertical="center"/>
      <protection locked="0" hidden="1"/>
    </xf>
    <xf numFmtId="1" fontId="13" fillId="38" borderId="31" xfId="0" applyNumberFormat="1" applyFont="1" applyFill="1" applyBorder="1" applyAlignment="1" applyProtection="1">
      <alignment horizontal="center" vertical="center"/>
      <protection locked="0" hidden="1"/>
    </xf>
    <xf numFmtId="0" fontId="13" fillId="32" borderId="12" xfId="0" applyFont="1" applyFill="1" applyBorder="1" applyAlignment="1" applyProtection="1">
      <alignment horizontal="center" vertical="center"/>
      <protection locked="0" hidden="1"/>
    </xf>
    <xf numFmtId="0" fontId="13" fillId="32" borderId="14" xfId="0" applyFont="1" applyFill="1" applyBorder="1" applyAlignment="1" applyProtection="1">
      <alignment vertical="center"/>
      <protection locked="0" hidden="1"/>
    </xf>
    <xf numFmtId="1" fontId="14" fillId="40" borderId="31" xfId="0" applyNumberFormat="1" applyFont="1" applyFill="1" applyBorder="1" applyAlignment="1" applyProtection="1">
      <alignment horizontal="center" vertical="center"/>
      <protection locked="0" hidden="1"/>
    </xf>
    <xf numFmtId="1" fontId="14" fillId="40" borderId="16" xfId="0" applyNumberFormat="1" applyFont="1" applyFill="1" applyBorder="1" applyAlignment="1" applyProtection="1">
      <alignment horizontal="center" vertical="center"/>
      <protection locked="0" hidden="1"/>
    </xf>
    <xf numFmtId="4" fontId="14" fillId="40" borderId="31" xfId="0" applyNumberFormat="1" applyFont="1" applyFill="1" applyBorder="1" applyAlignment="1" applyProtection="1">
      <alignment horizontal="center" vertical="center"/>
      <protection locked="0" hidden="1"/>
    </xf>
    <xf numFmtId="10" fontId="12" fillId="38" borderId="16" xfId="0" applyNumberFormat="1" applyFont="1" applyFill="1" applyBorder="1" applyAlignment="1" applyProtection="1">
      <alignment horizontal="center" vertical="center"/>
      <protection locked="0" hidden="1"/>
    </xf>
    <xf numFmtId="4" fontId="12" fillId="38" borderId="57" xfId="0" applyNumberFormat="1" applyFont="1" applyFill="1" applyBorder="1" applyAlignment="1" applyProtection="1">
      <alignment vertical="center"/>
      <protection hidden="1"/>
    </xf>
    <xf numFmtId="0" fontId="65" fillId="38" borderId="0" xfId="0" applyFont="1" applyFill="1" applyAlignment="1" applyProtection="1">
      <alignment horizontal="center" vertical="center"/>
      <protection locked="0" hidden="1"/>
    </xf>
    <xf numFmtId="0" fontId="35" fillId="0" borderId="0" xfId="0" applyFont="1" applyAlignment="1" applyProtection="1">
      <alignment vertical="center"/>
      <protection locked="0"/>
    </xf>
    <xf numFmtId="4" fontId="0" fillId="0" borderId="0" xfId="0" applyNumberFormat="1" applyAlignment="1" applyProtection="1">
      <alignment vertical="center"/>
      <protection locked="0"/>
    </xf>
    <xf numFmtId="0" fontId="9" fillId="39" borderId="50" xfId="0" applyFont="1" applyFill="1" applyBorder="1" applyAlignment="1" applyProtection="1">
      <alignment horizontal="center" vertical="center"/>
      <protection hidden="1"/>
    </xf>
    <xf numFmtId="2" fontId="66" fillId="31" borderId="79" xfId="0" applyNumberFormat="1" applyFont="1" applyFill="1" applyBorder="1" applyAlignment="1" applyProtection="1">
      <alignment horizontal="center" vertical="center"/>
      <protection locked="0" hidden="1"/>
    </xf>
    <xf numFmtId="4" fontId="13" fillId="27" borderId="13" xfId="0" applyNumberFormat="1" applyFont="1" applyFill="1" applyBorder="1" applyAlignment="1" applyProtection="1">
      <alignment horizontal="center" vertical="center"/>
      <protection locked="0"/>
    </xf>
    <xf numFmtId="4" fontId="13" fillId="27" borderId="14" xfId="0" applyNumberFormat="1" applyFont="1" applyFill="1" applyBorder="1" applyAlignment="1" applyProtection="1">
      <alignment horizontal="center" vertical="center"/>
      <protection locked="0"/>
    </xf>
    <xf numFmtId="3" fontId="71" fillId="27" borderId="79" xfId="0" applyNumberFormat="1" applyFont="1" applyFill="1" applyBorder="1" applyAlignment="1" applyProtection="1">
      <alignment horizontal="center" vertical="center"/>
      <protection hidden="1"/>
    </xf>
    <xf numFmtId="4" fontId="14" fillId="27" borderId="12" xfId="0" applyNumberFormat="1" applyFont="1" applyFill="1" applyBorder="1" applyAlignment="1" applyProtection="1">
      <alignment vertical="center"/>
      <protection locked="0"/>
    </xf>
    <xf numFmtId="3" fontId="72" fillId="27" borderId="21" xfId="0" applyNumberFormat="1" applyFont="1" applyFill="1" applyBorder="1" applyAlignment="1" applyProtection="1">
      <alignment horizontal="center" vertical="center"/>
      <protection locked="0" hidden="1"/>
    </xf>
    <xf numFmtId="14" fontId="12" fillId="27" borderId="12" xfId="0" applyNumberFormat="1" applyFont="1" applyFill="1" applyBorder="1" applyAlignment="1" applyProtection="1">
      <alignment vertical="center"/>
      <protection locked="0" hidden="1"/>
    </xf>
    <xf numFmtId="0" fontId="14" fillId="27" borderId="14" xfId="0" applyFont="1" applyFill="1" applyBorder="1" applyAlignment="1" applyProtection="1">
      <alignment vertical="center"/>
      <protection locked="0" hidden="1"/>
    </xf>
    <xf numFmtId="0" fontId="36" fillId="0" borderId="31" xfId="0" applyFont="1" applyBorder="1" applyAlignment="1" applyProtection="1">
      <alignment horizontal="center" vertical="center"/>
      <protection locked="0" hidden="1"/>
    </xf>
    <xf numFmtId="1" fontId="68" fillId="0" borderId="44" xfId="0" applyNumberFormat="1" applyFont="1" applyBorder="1" applyAlignment="1" applyProtection="1">
      <alignment horizontal="center" vertical="center"/>
      <protection locked="0"/>
    </xf>
    <xf numFmtId="4" fontId="13" fillId="0" borderId="41" xfId="0" applyNumberFormat="1" applyFont="1" applyBorder="1" applyAlignment="1" applyProtection="1">
      <alignment horizontal="center" vertical="center"/>
      <protection locked="0" hidden="1"/>
    </xf>
    <xf numFmtId="0" fontId="48" fillId="0" borderId="21" xfId="0" applyFont="1" applyBorder="1" applyAlignment="1" applyProtection="1">
      <alignment horizontal="center" vertical="center"/>
      <protection locked="0" hidden="1"/>
    </xf>
    <xf numFmtId="9" fontId="40" fillId="32" borderId="14" xfId="0" applyNumberFormat="1" applyFont="1" applyFill="1" applyBorder="1" applyAlignment="1" applyProtection="1">
      <alignment vertical="center"/>
      <protection locked="0"/>
    </xf>
    <xf numFmtId="9" fontId="40" fillId="24" borderId="21" xfId="0" applyNumberFormat="1" applyFont="1" applyFill="1" applyBorder="1" applyAlignment="1" applyProtection="1">
      <alignment horizontal="center" vertical="center"/>
      <protection locked="0"/>
    </xf>
    <xf numFmtId="10" fontId="67" fillId="31" borderId="14" xfId="0" applyNumberFormat="1" applyFont="1" applyFill="1" applyBorder="1" applyAlignment="1" applyProtection="1">
      <alignment horizontal="center" vertical="center"/>
      <protection locked="0" hidden="1"/>
    </xf>
    <xf numFmtId="0" fontId="12" fillId="26" borderId="46" xfId="0" applyFont="1" applyFill="1" applyBorder="1" applyAlignment="1" applyProtection="1">
      <alignment horizontal="center" vertical="center"/>
      <protection locked="0"/>
    </xf>
    <xf numFmtId="0" fontId="13" fillId="26" borderId="47" xfId="0" applyFont="1" applyFill="1" applyBorder="1" applyAlignment="1" applyProtection="1">
      <alignment horizontal="center" vertical="center"/>
      <protection locked="0"/>
    </xf>
    <xf numFmtId="0" fontId="0" fillId="0" borderId="16" xfId="0" applyBorder="1" applyAlignment="1" applyProtection="1">
      <alignment vertical="center"/>
      <protection locked="0"/>
    </xf>
    <xf numFmtId="0" fontId="12" fillId="0" borderId="46" xfId="0" applyFont="1" applyBorder="1" applyAlignment="1" applyProtection="1">
      <alignment horizontal="center" vertical="center"/>
      <protection locked="0"/>
    </xf>
    <xf numFmtId="0" fontId="12" fillId="0" borderId="47" xfId="0" applyFont="1" applyBorder="1" applyAlignment="1" applyProtection="1">
      <alignment horizontal="center" vertical="center"/>
      <protection locked="0"/>
    </xf>
    <xf numFmtId="0" fontId="12" fillId="31" borderId="46" xfId="0" applyFont="1" applyFill="1" applyBorder="1" applyAlignment="1" applyProtection="1">
      <alignment horizontal="center" vertical="center"/>
      <protection locked="0"/>
    </xf>
    <xf numFmtId="0" fontId="12" fillId="31" borderId="47" xfId="0" applyFont="1" applyFill="1" applyBorder="1" applyAlignment="1" applyProtection="1">
      <alignment horizontal="center" vertical="center"/>
      <protection locked="0"/>
    </xf>
    <xf numFmtId="0" fontId="38" fillId="0" borderId="16" xfId="0" applyFont="1" applyBorder="1" applyAlignment="1" applyProtection="1">
      <alignment vertical="center"/>
      <protection locked="0"/>
    </xf>
    <xf numFmtId="0" fontId="12" fillId="29" borderId="46" xfId="0" applyFont="1" applyFill="1" applyBorder="1" applyAlignment="1" applyProtection="1">
      <alignment horizontal="center" vertical="center"/>
      <protection locked="0"/>
    </xf>
    <xf numFmtId="0" fontId="12" fillId="29" borderId="47" xfId="0" applyFont="1" applyFill="1" applyBorder="1" applyAlignment="1" applyProtection="1">
      <alignment horizontal="center" vertical="center"/>
      <protection locked="0"/>
    </xf>
    <xf numFmtId="0" fontId="13" fillId="26" borderId="23" xfId="0" applyFont="1" applyFill="1" applyBorder="1" applyAlignment="1" applyProtection="1">
      <alignment horizontal="center" vertical="center"/>
      <protection locked="0"/>
    </xf>
    <xf numFmtId="0" fontId="13" fillId="26" borderId="30" xfId="0" applyFont="1" applyFill="1" applyBorder="1" applyAlignment="1" applyProtection="1">
      <alignment horizontal="center" vertical="center"/>
      <protection locked="0"/>
    </xf>
    <xf numFmtId="0" fontId="13" fillId="26" borderId="24" xfId="0" applyFont="1" applyFill="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43" fillId="31" borderId="21" xfId="0" applyFont="1" applyFill="1" applyBorder="1" applyAlignment="1" applyProtection="1">
      <alignment horizontal="center" vertical="center"/>
      <protection locked="0"/>
    </xf>
    <xf numFmtId="0" fontId="43" fillId="31" borderId="13" xfId="0" applyFont="1" applyFill="1" applyBorder="1" applyAlignment="1" applyProtection="1">
      <alignment horizontal="center" vertical="center"/>
      <protection locked="0"/>
    </xf>
    <xf numFmtId="0" fontId="13" fillId="31" borderId="48" xfId="0" applyFont="1" applyFill="1" applyBorder="1" applyAlignment="1" applyProtection="1">
      <alignment horizontal="center" vertical="center"/>
      <protection locked="0"/>
    </xf>
    <xf numFmtId="0" fontId="13" fillId="31" borderId="24" xfId="0" applyFont="1" applyFill="1" applyBorder="1" applyAlignment="1" applyProtection="1">
      <alignment horizontal="center" vertical="center"/>
      <protection locked="0"/>
    </xf>
    <xf numFmtId="0" fontId="13" fillId="29" borderId="14" xfId="0" applyFont="1" applyFill="1" applyBorder="1" applyAlignment="1" applyProtection="1">
      <alignment horizontal="center" vertical="center"/>
      <protection locked="0"/>
    </xf>
    <xf numFmtId="0" fontId="13" fillId="29" borderId="24" xfId="0" applyFont="1" applyFill="1" applyBorder="1" applyAlignment="1" applyProtection="1">
      <alignment horizontal="center" vertical="center"/>
      <protection locked="0"/>
    </xf>
    <xf numFmtId="0" fontId="12" fillId="26" borderId="45" xfId="0" applyFont="1" applyFill="1" applyBorder="1" applyAlignment="1" applyProtection="1">
      <alignment horizontal="center" vertical="center"/>
      <protection hidden="1"/>
    </xf>
    <xf numFmtId="4" fontId="12" fillId="26" borderId="18" xfId="0" applyNumberFormat="1" applyFont="1" applyFill="1" applyBorder="1" applyAlignment="1" applyProtection="1">
      <alignment vertical="center"/>
      <protection locked="0" hidden="1"/>
    </xf>
    <xf numFmtId="10" fontId="36" fillId="26" borderId="18" xfId="0" applyNumberFormat="1" applyFont="1" applyFill="1" applyBorder="1" applyAlignment="1" applyProtection="1">
      <alignment horizontal="center" vertical="center"/>
      <protection locked="0" hidden="1"/>
    </xf>
    <xf numFmtId="4" fontId="37" fillId="26" borderId="18" xfId="0" applyNumberFormat="1" applyFont="1" applyFill="1" applyBorder="1" applyAlignment="1" applyProtection="1">
      <alignment vertical="center"/>
      <protection locked="0" hidden="1"/>
    </xf>
    <xf numFmtId="0" fontId="0" fillId="0" borderId="18" xfId="0" applyBorder="1" applyAlignment="1" applyProtection="1">
      <alignment vertical="center"/>
      <protection locked="0" hidden="1"/>
    </xf>
    <xf numFmtId="0" fontId="12" fillId="29" borderId="45" xfId="0" applyFont="1" applyFill="1" applyBorder="1" applyAlignment="1" applyProtection="1">
      <alignment horizontal="center" vertical="center"/>
      <protection hidden="1"/>
    </xf>
    <xf numFmtId="4" fontId="12" fillId="29" borderId="18" xfId="0" applyNumberFormat="1" applyFont="1" applyFill="1" applyBorder="1" applyAlignment="1" applyProtection="1">
      <alignment vertical="center"/>
      <protection locked="0" hidden="1"/>
    </xf>
    <xf numFmtId="10" fontId="36" fillId="29" borderId="18" xfId="0" applyNumberFormat="1" applyFont="1" applyFill="1" applyBorder="1" applyAlignment="1" applyProtection="1">
      <alignment horizontal="center" vertical="center"/>
      <protection locked="0" hidden="1"/>
    </xf>
    <xf numFmtId="0" fontId="12" fillId="31" borderId="45" xfId="0" applyFont="1" applyFill="1" applyBorder="1" applyAlignment="1" applyProtection="1">
      <alignment horizontal="center" vertical="center"/>
      <protection hidden="1"/>
    </xf>
    <xf numFmtId="0" fontId="12" fillId="26" borderId="40" xfId="0" applyFont="1" applyFill="1" applyBorder="1" applyAlignment="1" applyProtection="1">
      <alignment horizontal="center" vertical="center"/>
      <protection hidden="1"/>
    </xf>
    <xf numFmtId="10" fontId="36" fillId="26" borderId="10" xfId="0" applyNumberFormat="1" applyFont="1" applyFill="1" applyBorder="1" applyAlignment="1" applyProtection="1">
      <alignment horizontal="center" vertical="center"/>
      <protection locked="0" hidden="1"/>
    </xf>
    <xf numFmtId="0" fontId="0" fillId="0" borderId="10" xfId="0" applyBorder="1" applyAlignment="1" applyProtection="1">
      <alignment vertical="center"/>
      <protection locked="0" hidden="1"/>
    </xf>
    <xf numFmtId="0" fontId="12" fillId="29" borderId="40" xfId="0" applyFont="1" applyFill="1" applyBorder="1" applyAlignment="1" applyProtection="1">
      <alignment horizontal="center" vertical="center"/>
      <protection hidden="1"/>
    </xf>
    <xf numFmtId="10" fontId="36" fillId="29" borderId="10" xfId="0" applyNumberFormat="1" applyFont="1" applyFill="1" applyBorder="1" applyAlignment="1" applyProtection="1">
      <alignment horizontal="center" vertical="center"/>
      <protection locked="0" hidden="1"/>
    </xf>
    <xf numFmtId="0" fontId="12" fillId="31" borderId="40" xfId="0" applyFont="1" applyFill="1" applyBorder="1" applyAlignment="1" applyProtection="1">
      <alignment horizontal="center" vertical="center"/>
      <protection hidden="1"/>
    </xf>
    <xf numFmtId="0" fontId="0" fillId="0" borderId="35" xfId="0" applyBorder="1" applyAlignment="1" applyProtection="1">
      <alignment vertical="center"/>
      <protection locked="0" hidden="1"/>
    </xf>
    <xf numFmtId="0" fontId="0" fillId="0" borderId="36" xfId="0" applyBorder="1" applyAlignment="1" applyProtection="1">
      <alignment vertical="center"/>
      <protection locked="0" hidden="1"/>
    </xf>
    <xf numFmtId="0" fontId="70" fillId="0" borderId="0" xfId="0" applyFont="1" applyAlignment="1" applyProtection="1">
      <alignment vertical="center"/>
      <protection locked="0" hidden="1"/>
    </xf>
    <xf numFmtId="0" fontId="11" fillId="0" borderId="0" xfId="0" applyFont="1" applyAlignment="1" applyProtection="1">
      <alignment vertical="center"/>
      <protection locked="0" hidden="1"/>
    </xf>
    <xf numFmtId="0" fontId="11" fillId="0" borderId="0" xfId="0" applyFont="1" applyAlignment="1" applyProtection="1">
      <alignment horizontal="center" vertical="center"/>
      <protection locked="0" hidden="1"/>
    </xf>
    <xf numFmtId="0" fontId="50" fillId="0" borderId="0" xfId="87" applyFont="1" applyAlignment="1" applyProtection="1">
      <alignment horizontal="center" vertical="center"/>
      <protection locked="0" hidden="1"/>
    </xf>
    <xf numFmtId="0" fontId="140" fillId="0" borderId="0" xfId="87" applyAlignment="1" applyProtection="1">
      <alignment horizontal="center" vertical="center"/>
      <protection locked="0" hidden="1"/>
    </xf>
    <xf numFmtId="49" fontId="119" fillId="52" borderId="43" xfId="68" applyNumberFormat="1" applyFont="1" applyFill="1" applyBorder="1" applyAlignment="1">
      <alignment horizontal="center" vertical="center"/>
    </xf>
    <xf numFmtId="4" fontId="168" fillId="0" borderId="0" xfId="0" quotePrefix="1" applyNumberFormat="1" applyFont="1" applyAlignment="1" applyProtection="1">
      <alignment horizontal="center" vertical="center"/>
      <protection hidden="1"/>
    </xf>
    <xf numFmtId="0" fontId="168" fillId="0" borderId="0" xfId="0" applyFont="1" applyAlignment="1" applyProtection="1">
      <alignment vertical="center"/>
      <protection hidden="1"/>
    </xf>
    <xf numFmtId="4" fontId="169" fillId="0" borderId="0" xfId="0" applyNumberFormat="1" applyFont="1" applyAlignment="1" applyProtection="1">
      <alignment vertical="center"/>
      <protection hidden="1"/>
    </xf>
    <xf numFmtId="0" fontId="168" fillId="0" borderId="0" xfId="0" applyFont="1" applyAlignment="1" applyProtection="1">
      <alignment horizontal="center" vertical="center"/>
      <protection hidden="1"/>
    </xf>
    <xf numFmtId="4" fontId="168" fillId="0" borderId="0" xfId="0" applyNumberFormat="1" applyFont="1" applyAlignment="1" applyProtection="1">
      <alignment vertical="center"/>
      <protection hidden="1"/>
    </xf>
    <xf numFmtId="0" fontId="26" fillId="36" borderId="91" xfId="52" applyFont="1" applyFill="1" applyBorder="1" applyAlignment="1" applyProtection="1">
      <alignment vertical="center"/>
      <protection hidden="1"/>
    </xf>
    <xf numFmtId="0" fontId="26" fillId="36" borderId="94" xfId="52" applyFont="1" applyFill="1" applyBorder="1" applyAlignment="1" applyProtection="1">
      <alignment vertical="center"/>
      <protection hidden="1"/>
    </xf>
    <xf numFmtId="0" fontId="35" fillId="36" borderId="99" xfId="52" applyFill="1" applyBorder="1" applyAlignment="1" applyProtection="1">
      <alignment horizontal="center" vertical="center"/>
      <protection hidden="1"/>
    </xf>
    <xf numFmtId="0" fontId="26" fillId="36" borderId="97" xfId="52" applyFont="1" applyFill="1" applyBorder="1" applyAlignment="1" applyProtection="1">
      <alignment horizontal="center" vertical="center"/>
      <protection hidden="1"/>
    </xf>
    <xf numFmtId="0" fontId="26" fillId="36" borderId="100" xfId="52" applyFont="1" applyFill="1" applyBorder="1" applyAlignment="1">
      <alignment horizontal="center" vertical="center"/>
    </xf>
    <xf numFmtId="0" fontId="50" fillId="29" borderId="20" xfId="0" applyFont="1" applyFill="1" applyBorder="1" applyAlignment="1" applyProtection="1">
      <alignment horizontal="center" vertical="center"/>
      <protection hidden="1"/>
    </xf>
    <xf numFmtId="0" fontId="35" fillId="29" borderId="32" xfId="0" applyFont="1" applyFill="1" applyBorder="1" applyAlignment="1" applyProtection="1">
      <alignment horizontal="center" vertical="center"/>
      <protection hidden="1"/>
    </xf>
    <xf numFmtId="0" fontId="50" fillId="29" borderId="10" xfId="0" applyFont="1" applyFill="1" applyBorder="1" applyAlignment="1" applyProtection="1">
      <alignment horizontal="center" vertical="center"/>
      <protection hidden="1"/>
    </xf>
    <xf numFmtId="14" fontId="16" fillId="29" borderId="58" xfId="0" applyNumberFormat="1" applyFont="1" applyFill="1" applyBorder="1" applyAlignment="1" applyProtection="1">
      <alignment horizontal="center" vertical="center"/>
      <protection hidden="1"/>
    </xf>
    <xf numFmtId="0" fontId="50" fillId="29" borderId="35" xfId="0" applyFont="1" applyFill="1" applyBorder="1" applyAlignment="1" applyProtection="1">
      <alignment horizontal="center" vertical="center"/>
      <protection hidden="1"/>
    </xf>
    <xf numFmtId="14" fontId="16" fillId="29" borderId="35" xfId="0" applyNumberFormat="1" applyFont="1" applyFill="1" applyBorder="1" applyAlignment="1" applyProtection="1">
      <alignment horizontal="center" vertical="center"/>
      <protection hidden="1"/>
    </xf>
    <xf numFmtId="1" fontId="16" fillId="29" borderId="39" xfId="0" applyNumberFormat="1" applyFont="1" applyFill="1" applyBorder="1" applyAlignment="1" applyProtection="1">
      <alignment horizontal="center" vertical="center"/>
      <protection hidden="1"/>
    </xf>
    <xf numFmtId="4" fontId="16" fillId="29" borderId="36" xfId="0" applyNumberFormat="1" applyFont="1" applyFill="1" applyBorder="1" applyAlignment="1" applyProtection="1">
      <alignment horizontal="center" vertical="center"/>
      <protection hidden="1"/>
    </xf>
    <xf numFmtId="4" fontId="16" fillId="29" borderId="39" xfId="0" applyNumberFormat="1" applyFont="1" applyFill="1" applyBorder="1" applyAlignment="1" applyProtection="1">
      <alignment horizontal="center" vertical="center"/>
      <protection hidden="1"/>
    </xf>
    <xf numFmtId="10" fontId="50" fillId="29" borderId="51" xfId="0" applyNumberFormat="1" applyFont="1" applyFill="1" applyBorder="1" applyAlignment="1" applyProtection="1">
      <alignment vertical="center"/>
      <protection hidden="1"/>
    </xf>
    <xf numFmtId="4" fontId="173" fillId="36" borderId="40" xfId="52" applyNumberFormat="1" applyFont="1" applyFill="1" applyBorder="1" applyAlignment="1" applyProtection="1">
      <alignment horizontal="center" vertical="center"/>
      <protection hidden="1"/>
    </xf>
    <xf numFmtId="4" fontId="38" fillId="36" borderId="40" xfId="52" applyNumberFormat="1" applyFont="1" applyFill="1" applyBorder="1" applyAlignment="1" applyProtection="1">
      <alignment horizontal="center" vertical="center"/>
      <protection hidden="1"/>
    </xf>
    <xf numFmtId="0" fontId="105" fillId="47" borderId="42" xfId="69" applyFont="1" applyFill="1" applyBorder="1" applyAlignment="1">
      <alignment horizontal="center" vertical="center"/>
    </xf>
    <xf numFmtId="0" fontId="106" fillId="47" borderId="54" xfId="69" applyFont="1" applyFill="1" applyBorder="1" applyAlignment="1" applyProtection="1">
      <alignment horizontal="center" vertical="center"/>
      <protection locked="0"/>
    </xf>
    <xf numFmtId="0" fontId="175" fillId="47" borderId="18" xfId="69" applyFont="1" applyFill="1" applyBorder="1" applyAlignment="1" applyProtection="1">
      <alignment vertical="center"/>
      <protection locked="0"/>
    </xf>
    <xf numFmtId="2" fontId="16" fillId="29" borderId="40" xfId="54" applyNumberFormat="1" applyFont="1" applyFill="1" applyBorder="1" applyAlignment="1" applyProtection="1">
      <alignment vertical="center"/>
      <protection locked="0" hidden="1"/>
    </xf>
    <xf numFmtId="10" fontId="26" fillId="29" borderId="10" xfId="54" applyNumberFormat="1" applyFont="1" applyFill="1" applyBorder="1" applyAlignment="1" applyProtection="1">
      <alignment horizontal="center" vertical="center"/>
      <protection locked="0" hidden="1"/>
    </xf>
    <xf numFmtId="171" fontId="50" fillId="32" borderId="40" xfId="54" applyNumberFormat="1" applyFont="1" applyFill="1" applyBorder="1" applyAlignment="1" applyProtection="1">
      <alignment horizontal="center" vertical="center"/>
      <protection locked="0" hidden="1"/>
    </xf>
    <xf numFmtId="0" fontId="176" fillId="47" borderId="27" xfId="69" applyFont="1" applyFill="1" applyBorder="1" applyAlignment="1">
      <alignment horizontal="center" vertical="center"/>
    </xf>
    <xf numFmtId="4" fontId="12" fillId="0" borderId="13" xfId="0" applyNumberFormat="1" applyFont="1" applyBorder="1" applyAlignment="1" applyProtection="1">
      <alignment vertical="center"/>
      <protection locked="0"/>
    </xf>
    <xf numFmtId="4" fontId="12" fillId="0" borderId="14" xfId="0" applyNumberFormat="1" applyFont="1" applyBorder="1" applyAlignment="1" applyProtection="1">
      <alignment vertical="center"/>
      <protection locked="0"/>
    </xf>
    <xf numFmtId="4" fontId="12" fillId="0" borderId="12" xfId="0" applyNumberFormat="1" applyFont="1" applyBorder="1" applyAlignment="1" applyProtection="1">
      <alignment vertical="center"/>
      <protection locked="0"/>
    </xf>
    <xf numFmtId="10" fontId="177" fillId="0" borderId="56" xfId="0" applyNumberFormat="1" applyFont="1" applyBorder="1" applyAlignment="1" applyProtection="1">
      <alignment horizontal="center" vertical="center"/>
      <protection locked="0"/>
    </xf>
    <xf numFmtId="0" fontId="16" fillId="0" borderId="40" xfId="54" applyFont="1" applyBorder="1" applyAlignment="1" applyProtection="1">
      <alignment vertical="center"/>
      <protection locked="0" hidden="1"/>
    </xf>
    <xf numFmtId="14" fontId="16" fillId="29" borderId="35" xfId="0" applyNumberFormat="1" applyFont="1" applyFill="1" applyBorder="1" applyAlignment="1" applyProtection="1">
      <alignment horizontal="center" vertical="center"/>
      <protection locked="0"/>
    </xf>
    <xf numFmtId="0" fontId="50" fillId="31" borderId="93" xfId="0" applyFont="1" applyFill="1" applyBorder="1" applyAlignment="1">
      <alignment horizontal="center" vertical="center"/>
    </xf>
    <xf numFmtId="0" fontId="50" fillId="31" borderId="95" xfId="0" applyFont="1" applyFill="1" applyBorder="1" applyAlignment="1" applyProtection="1">
      <alignment horizontal="center" vertical="center"/>
      <protection locked="0"/>
    </xf>
    <xf numFmtId="2" fontId="16" fillId="32" borderId="58" xfId="0" applyNumberFormat="1" applyFont="1" applyFill="1" applyBorder="1" applyAlignment="1" applyProtection="1">
      <alignment horizontal="center" vertical="center"/>
      <protection locked="0"/>
    </xf>
    <xf numFmtId="0" fontId="0" fillId="29" borderId="10" xfId="0" applyFill="1" applyBorder="1" applyAlignment="1" applyProtection="1">
      <alignment horizontal="center" vertical="center"/>
      <protection locked="0"/>
    </xf>
    <xf numFmtId="0" fontId="50" fillId="29" borderId="91" xfId="0" applyFont="1" applyFill="1" applyBorder="1" applyAlignment="1" applyProtection="1">
      <alignment horizontal="center" vertical="center"/>
      <protection locked="0"/>
    </xf>
    <xf numFmtId="0" fontId="50" fillId="29" borderId="98" xfId="0" applyFont="1" applyFill="1" applyBorder="1" applyAlignment="1" applyProtection="1">
      <alignment horizontal="center" vertical="center"/>
      <protection locked="0"/>
    </xf>
    <xf numFmtId="0" fontId="35" fillId="0" borderId="0" xfId="59" quotePrefix="1" applyAlignment="1">
      <alignment vertical="center"/>
    </xf>
    <xf numFmtId="0" fontId="176" fillId="47" borderId="18" xfId="69" applyFont="1" applyFill="1" applyBorder="1" applyAlignment="1" applyProtection="1">
      <alignment horizontal="center" vertical="center"/>
      <protection locked="0"/>
    </xf>
    <xf numFmtId="0" fontId="26" fillId="0" borderId="40" xfId="59" applyFont="1" applyBorder="1" applyAlignment="1" applyProtection="1">
      <alignment horizontal="center" vertical="center"/>
      <protection locked="0" hidden="1"/>
    </xf>
    <xf numFmtId="4" fontId="26" fillId="0" borderId="10" xfId="59" applyNumberFormat="1" applyFont="1" applyBorder="1" applyAlignment="1" applyProtection="1">
      <alignment vertical="center"/>
      <protection locked="0" hidden="1"/>
    </xf>
    <xf numFmtId="4" fontId="26" fillId="0" borderId="32" xfId="59" applyNumberFormat="1" applyFont="1" applyBorder="1" applyAlignment="1">
      <alignment vertical="center"/>
    </xf>
    <xf numFmtId="4" fontId="35" fillId="0" borderId="0" xfId="59" applyNumberFormat="1" applyAlignment="1">
      <alignment vertical="center"/>
    </xf>
    <xf numFmtId="171" fontId="35" fillId="0" borderId="0" xfId="59" applyNumberFormat="1" applyAlignment="1">
      <alignment vertical="center"/>
    </xf>
    <xf numFmtId="10" fontId="11" fillId="29" borderId="10" xfId="59" applyNumberFormat="1" applyFont="1" applyFill="1" applyBorder="1" applyAlignment="1" applyProtection="1">
      <alignment horizontal="center" vertical="center"/>
      <protection locked="0" hidden="1"/>
    </xf>
    <xf numFmtId="10" fontId="26" fillId="0" borderId="10" xfId="59" applyNumberFormat="1" applyFont="1" applyBorder="1" applyAlignment="1" applyProtection="1">
      <alignment horizontal="center" vertical="center"/>
      <protection locked="0"/>
    </xf>
    <xf numFmtId="0" fontId="26" fillId="0" borderId="10" xfId="59" applyFont="1" applyBorder="1" applyAlignment="1" applyProtection="1">
      <alignment horizontal="center" vertical="center"/>
      <protection locked="0"/>
    </xf>
    <xf numFmtId="171" fontId="26" fillId="36" borderId="10" xfId="59" applyNumberFormat="1" applyFont="1" applyFill="1" applyBorder="1" applyAlignment="1">
      <alignment vertical="center"/>
    </xf>
    <xf numFmtId="171" fontId="26" fillId="36" borderId="32" xfId="59" applyNumberFormat="1" applyFont="1" applyFill="1" applyBorder="1" applyAlignment="1">
      <alignment vertical="center"/>
    </xf>
    <xf numFmtId="4" fontId="95" fillId="29" borderId="40" xfId="52" applyNumberFormat="1" applyFont="1" applyFill="1" applyBorder="1" applyAlignment="1" applyProtection="1">
      <alignment horizontal="center" vertical="center"/>
      <protection hidden="1"/>
    </xf>
    <xf numFmtId="10" fontId="16" fillId="36" borderId="40" xfId="52" applyNumberFormat="1" applyFont="1" applyFill="1" applyBorder="1" applyAlignment="1" applyProtection="1">
      <alignment horizontal="center" vertical="center"/>
      <protection locked="0" hidden="1"/>
    </xf>
    <xf numFmtId="10" fontId="50" fillId="32" borderId="40" xfId="54" applyNumberFormat="1" applyFont="1" applyFill="1" applyBorder="1" applyAlignment="1" applyProtection="1">
      <alignment horizontal="center" vertical="center"/>
      <protection locked="0" hidden="1"/>
    </xf>
    <xf numFmtId="10" fontId="26" fillId="0" borderId="81" xfId="54" applyNumberFormat="1" applyFont="1" applyBorder="1" applyAlignment="1" applyProtection="1">
      <alignment horizontal="center" vertical="center"/>
      <protection locked="0" hidden="1"/>
    </xf>
    <xf numFmtId="0" fontId="173" fillId="31" borderId="42" xfId="0" applyFont="1" applyFill="1" applyBorder="1" applyAlignment="1">
      <alignment horizontal="center" vertical="center"/>
    </xf>
    <xf numFmtId="4" fontId="12" fillId="31" borderId="18" xfId="0" applyNumberFormat="1" applyFont="1" applyFill="1" applyBorder="1" applyAlignment="1" applyProtection="1">
      <alignment vertical="center"/>
      <protection hidden="1"/>
    </xf>
    <xf numFmtId="10" fontId="36" fillId="31" borderId="18" xfId="0" applyNumberFormat="1" applyFont="1" applyFill="1" applyBorder="1" applyAlignment="1" applyProtection="1">
      <alignment horizontal="center" vertical="center"/>
      <protection hidden="1"/>
    </xf>
    <xf numFmtId="4" fontId="37" fillId="31" borderId="18" xfId="0" applyNumberFormat="1" applyFont="1" applyFill="1" applyBorder="1" applyAlignment="1" applyProtection="1">
      <alignment vertical="center"/>
      <protection hidden="1"/>
    </xf>
    <xf numFmtId="0" fontId="0" fillId="0" borderId="18" xfId="0" applyBorder="1" applyAlignment="1" applyProtection="1">
      <alignment vertical="center"/>
      <protection hidden="1"/>
    </xf>
    <xf numFmtId="4" fontId="12" fillId="29" borderId="18" xfId="0" applyNumberFormat="1" applyFont="1" applyFill="1" applyBorder="1" applyAlignment="1" applyProtection="1">
      <alignment vertical="center"/>
      <protection hidden="1"/>
    </xf>
    <xf numFmtId="10" fontId="36" fillId="29" borderId="18" xfId="0" applyNumberFormat="1" applyFont="1" applyFill="1" applyBorder="1" applyAlignment="1" applyProtection="1">
      <alignment horizontal="center" vertical="center"/>
      <protection hidden="1"/>
    </xf>
    <xf numFmtId="4" fontId="37" fillId="29" borderId="54" xfId="0" applyNumberFormat="1" applyFont="1" applyFill="1" applyBorder="1" applyAlignment="1" applyProtection="1">
      <alignment vertical="center"/>
      <protection hidden="1"/>
    </xf>
    <xf numFmtId="10" fontId="36" fillId="31" borderId="10" xfId="0" applyNumberFormat="1" applyFont="1" applyFill="1" applyBorder="1" applyAlignment="1" applyProtection="1">
      <alignment horizontal="center" vertical="center"/>
      <protection hidden="1"/>
    </xf>
    <xf numFmtId="0" fontId="0" fillId="0" borderId="10" xfId="0" applyBorder="1" applyAlignment="1" applyProtection="1">
      <alignment vertical="center"/>
      <protection hidden="1"/>
    </xf>
    <xf numFmtId="10" fontId="36" fillId="29" borderId="10" xfId="0" applyNumberFormat="1" applyFont="1" applyFill="1" applyBorder="1" applyAlignment="1" applyProtection="1">
      <alignment horizontal="center" vertical="center"/>
      <protection hidden="1"/>
    </xf>
    <xf numFmtId="0" fontId="0" fillId="0" borderId="35" xfId="0" applyBorder="1" applyAlignment="1" applyProtection="1">
      <alignment vertical="center"/>
      <protection hidden="1"/>
    </xf>
    <xf numFmtId="10" fontId="36" fillId="31" borderId="36" xfId="0" applyNumberFormat="1" applyFont="1" applyFill="1" applyBorder="1" applyAlignment="1" applyProtection="1">
      <alignment horizontal="center" vertical="center"/>
      <protection hidden="1"/>
    </xf>
    <xf numFmtId="0" fontId="0" fillId="0" borderId="36" xfId="0" applyBorder="1" applyAlignment="1" applyProtection="1">
      <alignment vertical="center"/>
      <protection hidden="1"/>
    </xf>
    <xf numFmtId="10" fontId="36" fillId="29" borderId="36" xfId="0" applyNumberFormat="1" applyFont="1" applyFill="1" applyBorder="1" applyAlignment="1" applyProtection="1">
      <alignment horizontal="center" vertical="center"/>
      <protection hidden="1"/>
    </xf>
    <xf numFmtId="10" fontId="36" fillId="26" borderId="10" xfId="0" applyNumberFormat="1" applyFont="1" applyFill="1" applyBorder="1" applyAlignment="1" applyProtection="1">
      <alignment horizontal="center" vertical="center"/>
      <protection hidden="1"/>
    </xf>
    <xf numFmtId="10" fontId="36" fillId="26" borderId="36" xfId="0" applyNumberFormat="1" applyFont="1" applyFill="1" applyBorder="1" applyAlignment="1" applyProtection="1">
      <alignment horizontal="center" vertical="center"/>
      <protection hidden="1"/>
    </xf>
    <xf numFmtId="0" fontId="113" fillId="34" borderId="50" xfId="69" applyFont="1" applyFill="1" applyBorder="1" applyAlignment="1">
      <alignment horizontal="center" vertical="center"/>
    </xf>
    <xf numFmtId="0" fontId="35" fillId="0" borderId="0" xfId="68" applyFont="1" applyAlignment="1" applyProtection="1">
      <alignment horizontal="center" vertical="center"/>
      <protection locked="0"/>
    </xf>
    <xf numFmtId="0" fontId="57" fillId="34" borderId="30" xfId="30" applyFill="1" applyBorder="1" applyAlignment="1" applyProtection="1">
      <alignment vertical="center"/>
    </xf>
    <xf numFmtId="0" fontId="43" fillId="29" borderId="30" xfId="0" applyFont="1" applyFill="1" applyBorder="1" applyAlignment="1" applyProtection="1">
      <alignment horizontal="center" vertical="center"/>
      <protection locked="0"/>
    </xf>
    <xf numFmtId="4" fontId="178" fillId="46" borderId="18" xfId="0" applyNumberFormat="1" applyFont="1" applyFill="1" applyBorder="1" applyAlignment="1" applyProtection="1">
      <alignment horizontal="center" vertical="center"/>
      <protection locked="0" hidden="1"/>
    </xf>
    <xf numFmtId="0" fontId="43" fillId="26" borderId="56"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4" fontId="13" fillId="0" borderId="12" xfId="0" applyNumberFormat="1" applyFont="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xf numFmtId="0" fontId="38" fillId="0" borderId="13" xfId="0" applyFont="1" applyBorder="1" applyAlignment="1" applyProtection="1">
      <alignment horizontal="center" vertical="center"/>
      <protection locked="0"/>
    </xf>
    <xf numFmtId="0" fontId="43" fillId="31" borderId="30" xfId="0" applyFont="1" applyFill="1" applyBorder="1" applyAlignment="1" applyProtection="1">
      <alignment horizontal="center" vertical="center"/>
      <protection locked="0"/>
    </xf>
    <xf numFmtId="4" fontId="13" fillId="29" borderId="30" xfId="0" applyNumberFormat="1" applyFont="1" applyFill="1" applyBorder="1" applyAlignment="1" applyProtection="1">
      <alignment horizontal="center" vertical="center"/>
      <protection locked="0"/>
    </xf>
    <xf numFmtId="9" fontId="11" fillId="0" borderId="0" xfId="0" applyNumberFormat="1" applyFont="1" applyProtection="1">
      <protection locked="0"/>
    </xf>
    <xf numFmtId="10" fontId="35" fillId="0" borderId="0" xfId="0" applyNumberFormat="1" applyFont="1" applyAlignment="1">
      <alignment vertical="center"/>
    </xf>
    <xf numFmtId="1" fontId="104" fillId="55" borderId="35" xfId="69" applyNumberFormat="1" applyFont="1" applyFill="1" applyBorder="1" applyAlignment="1" applyProtection="1">
      <alignment horizontal="center" vertical="center"/>
      <protection locked="0"/>
    </xf>
    <xf numFmtId="1" fontId="90" fillId="32" borderId="39" xfId="0" applyNumberFormat="1" applyFont="1" applyFill="1" applyBorder="1" applyAlignment="1" applyProtection="1">
      <alignment horizontal="center" vertical="center"/>
      <protection locked="0"/>
    </xf>
    <xf numFmtId="1" fontId="35" fillId="32" borderId="39" xfId="0" applyNumberFormat="1" applyFont="1" applyFill="1" applyBorder="1" applyAlignment="1" applyProtection="1">
      <alignment horizontal="center" vertical="center"/>
      <protection locked="0"/>
    </xf>
    <xf numFmtId="0" fontId="103" fillId="43" borderId="21" xfId="69" applyFont="1" applyFill="1" applyBorder="1" applyAlignment="1">
      <alignment horizontal="center" vertical="center"/>
    </xf>
    <xf numFmtId="0" fontId="11" fillId="29" borderId="43" xfId="81" applyFont="1" applyFill="1" applyBorder="1" applyAlignment="1" applyProtection="1">
      <alignment horizontal="center" vertical="center"/>
      <protection locked="0"/>
    </xf>
    <xf numFmtId="0" fontId="36" fillId="29" borderId="35" xfId="81" applyFont="1" applyFill="1" applyBorder="1" applyAlignment="1" applyProtection="1">
      <alignment horizontal="center" vertical="center"/>
      <protection locked="0"/>
    </xf>
    <xf numFmtId="0" fontId="114" fillId="29" borderId="35" xfId="69" applyFont="1" applyFill="1" applyBorder="1" applyAlignment="1" applyProtection="1">
      <alignment vertical="center"/>
      <protection locked="0"/>
    </xf>
    <xf numFmtId="0" fontId="107" fillId="0" borderId="35" xfId="69" applyFont="1" applyBorder="1" applyAlignment="1" applyProtection="1">
      <alignment horizontal="center" vertical="center"/>
      <protection locked="0"/>
    </xf>
    <xf numFmtId="0" fontId="107" fillId="36" borderId="35" xfId="69" applyFont="1" applyFill="1" applyBorder="1" applyAlignment="1">
      <alignment horizontal="center" vertical="center"/>
    </xf>
    <xf numFmtId="0" fontId="139" fillId="0" borderId="49" xfId="81" applyFont="1" applyBorder="1" applyAlignment="1">
      <alignment horizontal="center" vertical="center"/>
    </xf>
    <xf numFmtId="10" fontId="50" fillId="29" borderId="52" xfId="0" applyNumberFormat="1" applyFont="1" applyFill="1" applyBorder="1" applyAlignment="1" applyProtection="1">
      <alignment vertical="center"/>
      <protection hidden="1"/>
    </xf>
    <xf numFmtId="0" fontId="50" fillId="31" borderId="104" xfId="0" applyFont="1" applyFill="1" applyBorder="1" applyAlignment="1">
      <alignment horizontal="center" vertical="center"/>
    </xf>
    <xf numFmtId="0" fontId="50" fillId="32" borderId="105" xfId="0" applyFont="1" applyFill="1" applyBorder="1" applyAlignment="1" applyProtection="1">
      <alignment horizontal="center" vertical="center"/>
      <protection locked="0"/>
    </xf>
    <xf numFmtId="14" fontId="16" fillId="29" borderId="105" xfId="0" applyNumberFormat="1" applyFont="1" applyFill="1" applyBorder="1" applyAlignment="1" applyProtection="1">
      <alignment horizontal="center" vertical="center"/>
      <protection locked="0"/>
    </xf>
    <xf numFmtId="0" fontId="50" fillId="31" borderId="109" xfId="0" applyFont="1" applyFill="1" applyBorder="1" applyAlignment="1" applyProtection="1">
      <alignment horizontal="center" vertical="center"/>
      <protection locked="0"/>
    </xf>
    <xf numFmtId="0" fontId="50" fillId="32" borderId="111" xfId="0" applyFont="1" applyFill="1" applyBorder="1" applyAlignment="1" applyProtection="1">
      <alignment horizontal="center" vertical="center"/>
      <protection locked="0"/>
    </xf>
    <xf numFmtId="14" fontId="16" fillId="29" borderId="111" xfId="0" applyNumberFormat="1" applyFont="1" applyFill="1" applyBorder="1" applyAlignment="1" applyProtection="1">
      <alignment horizontal="center" vertical="center"/>
      <protection locked="0"/>
    </xf>
    <xf numFmtId="4" fontId="16" fillId="32" borderId="111" xfId="0" applyNumberFormat="1" applyFont="1" applyFill="1" applyBorder="1" applyAlignment="1" applyProtection="1">
      <alignment horizontal="center" vertical="center"/>
      <protection locked="0"/>
    </xf>
    <xf numFmtId="4" fontId="16" fillId="32" borderId="39" xfId="0" applyNumberFormat="1" applyFont="1" applyFill="1" applyBorder="1" applyAlignment="1" applyProtection="1">
      <alignment horizontal="center" vertical="center"/>
      <protection hidden="1"/>
    </xf>
    <xf numFmtId="0" fontId="35" fillId="36" borderId="29" xfId="52" applyFill="1" applyBorder="1" applyAlignment="1" applyProtection="1">
      <alignment horizontal="center" vertical="center"/>
      <protection hidden="1"/>
    </xf>
    <xf numFmtId="178" fontId="11" fillId="29" borderId="10" xfId="59" applyNumberFormat="1" applyFont="1" applyFill="1" applyBorder="1" applyAlignment="1" applyProtection="1">
      <alignment horizontal="center" vertical="center"/>
      <protection locked="0" hidden="1"/>
    </xf>
    <xf numFmtId="4" fontId="26" fillId="35" borderId="40" xfId="54" applyNumberFormat="1" applyFont="1" applyFill="1" applyBorder="1" applyAlignment="1" applyProtection="1">
      <alignment vertical="center"/>
      <protection hidden="1"/>
    </xf>
    <xf numFmtId="4" fontId="26" fillId="36" borderId="80" xfId="54" applyNumberFormat="1" applyFont="1" applyFill="1" applyBorder="1" applyAlignment="1" applyProtection="1">
      <alignment vertical="center"/>
      <protection locked="0"/>
    </xf>
    <xf numFmtId="0" fontId="16" fillId="29" borderId="40" xfId="52" applyFont="1" applyFill="1" applyBorder="1" applyAlignment="1" applyProtection="1">
      <alignment horizontal="center" vertical="center"/>
      <protection hidden="1"/>
    </xf>
    <xf numFmtId="4" fontId="50" fillId="0" borderId="40" xfId="54" applyNumberFormat="1" applyFont="1" applyBorder="1" applyAlignment="1" applyProtection="1">
      <alignment vertical="center"/>
      <protection hidden="1"/>
    </xf>
    <xf numFmtId="4" fontId="26" fillId="0" borderId="10" xfId="54" applyNumberFormat="1" applyFont="1" applyBorder="1" applyAlignment="1" applyProtection="1">
      <alignment vertical="center"/>
      <protection hidden="1"/>
    </xf>
    <xf numFmtId="14" fontId="64" fillId="29" borderId="21" xfId="52" applyNumberFormat="1" applyFont="1" applyFill="1" applyBorder="1" applyAlignment="1" applyProtection="1">
      <alignment horizontal="center" vertical="center"/>
      <protection hidden="1"/>
    </xf>
    <xf numFmtId="14" fontId="181" fillId="29" borderId="21" xfId="52" applyNumberFormat="1" applyFont="1" applyFill="1" applyBorder="1" applyAlignment="1" applyProtection="1">
      <alignment vertical="center"/>
      <protection hidden="1"/>
    </xf>
    <xf numFmtId="0" fontId="64" fillId="29" borderId="15" xfId="52" applyFont="1" applyFill="1" applyBorder="1" applyAlignment="1" applyProtection="1">
      <alignment vertical="center"/>
      <protection hidden="1"/>
    </xf>
    <xf numFmtId="0" fontId="64" fillId="29" borderId="16" xfId="52" applyFont="1" applyFill="1" applyBorder="1" applyAlignment="1" applyProtection="1">
      <alignment vertical="center"/>
      <protection hidden="1"/>
    </xf>
    <xf numFmtId="0" fontId="64" fillId="29" borderId="60" xfId="52" applyFont="1" applyFill="1" applyBorder="1" applyAlignment="1" applyProtection="1">
      <alignment vertical="center"/>
      <protection hidden="1"/>
    </xf>
    <xf numFmtId="2" fontId="182" fillId="29" borderId="0" xfId="52" applyNumberFormat="1" applyFont="1" applyFill="1" applyAlignment="1" applyProtection="1">
      <alignment vertical="center"/>
      <protection hidden="1"/>
    </xf>
    <xf numFmtId="0" fontId="182" fillId="29" borderId="0" xfId="52" applyFont="1" applyFill="1" applyAlignment="1" applyProtection="1">
      <alignment vertical="center"/>
      <protection hidden="1"/>
    </xf>
    <xf numFmtId="0" fontId="181" fillId="29" borderId="64" xfId="52" applyFont="1" applyFill="1" applyBorder="1" applyProtection="1">
      <protection hidden="1"/>
    </xf>
    <xf numFmtId="0" fontId="181" fillId="29" borderId="65" xfId="52" applyFont="1" applyFill="1" applyBorder="1" applyProtection="1">
      <protection hidden="1"/>
    </xf>
    <xf numFmtId="14" fontId="181" fillId="29" borderId="66" xfId="52" applyNumberFormat="1" applyFont="1" applyFill="1" applyBorder="1" applyProtection="1">
      <protection hidden="1"/>
    </xf>
    <xf numFmtId="2" fontId="95" fillId="29" borderId="0" xfId="52" applyNumberFormat="1" applyFont="1" applyFill="1" applyProtection="1">
      <protection hidden="1"/>
    </xf>
    <xf numFmtId="0" fontId="95" fillId="29" borderId="0" xfId="52" applyFont="1" applyFill="1" applyProtection="1">
      <protection hidden="1"/>
    </xf>
    <xf numFmtId="0" fontId="64" fillId="29" borderId="45" xfId="52" applyFont="1" applyFill="1" applyBorder="1" applyAlignment="1" applyProtection="1">
      <alignment horizontal="center"/>
      <protection hidden="1"/>
    </xf>
    <xf numFmtId="0" fontId="64" fillId="29" borderId="75" xfId="52" applyFont="1" applyFill="1" applyBorder="1" applyAlignment="1" applyProtection="1">
      <alignment horizontal="center"/>
      <protection hidden="1"/>
    </xf>
    <xf numFmtId="0" fontId="64" fillId="29" borderId="73" xfId="52" applyFont="1" applyFill="1" applyBorder="1" applyAlignment="1" applyProtection="1">
      <alignment horizontal="center"/>
      <protection hidden="1"/>
    </xf>
    <xf numFmtId="3" fontId="81" fillId="29" borderId="50" xfId="52" applyNumberFormat="1" applyFont="1" applyFill="1" applyBorder="1" applyAlignment="1" applyProtection="1">
      <alignment horizontal="center"/>
      <protection hidden="1"/>
    </xf>
    <xf numFmtId="0" fontId="64" fillId="29" borderId="41" xfId="52" applyFont="1" applyFill="1" applyBorder="1" applyAlignment="1" applyProtection="1">
      <alignment horizontal="center"/>
      <protection hidden="1"/>
    </xf>
    <xf numFmtId="4" fontId="64" fillId="29" borderId="10" xfId="52" applyNumberFormat="1" applyFont="1" applyFill="1" applyBorder="1" applyProtection="1">
      <protection hidden="1"/>
    </xf>
    <xf numFmtId="10" fontId="186" fillId="29" borderId="10" xfId="52" applyNumberFormat="1" applyFont="1" applyFill="1" applyBorder="1" applyAlignment="1" applyProtection="1">
      <alignment horizontal="center"/>
      <protection hidden="1"/>
    </xf>
    <xf numFmtId="4" fontId="65" fillId="29" borderId="10" xfId="52" applyNumberFormat="1" applyFont="1" applyFill="1" applyBorder="1" applyProtection="1">
      <protection hidden="1"/>
    </xf>
    <xf numFmtId="0" fontId="187" fillId="29" borderId="13" xfId="52" applyFont="1" applyFill="1" applyBorder="1" applyProtection="1">
      <protection hidden="1"/>
    </xf>
    <xf numFmtId="0" fontId="95" fillId="29" borderId="13" xfId="52" applyFont="1" applyFill="1" applyBorder="1" applyProtection="1">
      <protection hidden="1"/>
    </xf>
    <xf numFmtId="4" fontId="64" fillId="29" borderId="21" xfId="52" applyNumberFormat="1" applyFont="1" applyFill="1" applyBorder="1" applyAlignment="1" applyProtection="1">
      <alignment horizontal="center"/>
      <protection hidden="1"/>
    </xf>
    <xf numFmtId="0" fontId="185" fillId="29" borderId="21" xfId="52" applyFont="1" applyFill="1" applyBorder="1" applyAlignment="1" applyProtection="1">
      <alignment horizontal="center"/>
      <protection hidden="1"/>
    </xf>
    <xf numFmtId="0" fontId="64" fillId="29" borderId="10" xfId="52" applyFont="1" applyFill="1" applyBorder="1" applyProtection="1">
      <protection hidden="1"/>
    </xf>
    <xf numFmtId="0" fontId="64" fillId="29" borderId="11" xfId="52" applyFont="1" applyFill="1" applyBorder="1" applyAlignment="1" applyProtection="1">
      <alignment horizontal="center"/>
      <protection hidden="1"/>
    </xf>
    <xf numFmtId="0" fontId="65" fillId="29" borderId="0" xfId="52" applyFont="1" applyFill="1" applyProtection="1">
      <protection hidden="1"/>
    </xf>
    <xf numFmtId="0" fontId="64" fillId="29" borderId="0" xfId="52" applyFont="1" applyFill="1" applyAlignment="1" applyProtection="1">
      <alignment horizontal="center"/>
      <protection hidden="1"/>
    </xf>
    <xf numFmtId="0" fontId="65" fillId="29" borderId="0" xfId="52" applyFont="1" applyFill="1" applyAlignment="1" applyProtection="1">
      <alignment horizontal="center"/>
      <protection hidden="1"/>
    </xf>
    <xf numFmtId="0" fontId="188" fillId="29" borderId="10" xfId="0" applyFont="1" applyFill="1" applyBorder="1" applyAlignment="1">
      <alignment horizontal="center"/>
    </xf>
    <xf numFmtId="0" fontId="95" fillId="29" borderId="0" xfId="52" applyFont="1" applyFill="1" applyAlignment="1" applyProtection="1">
      <alignment horizontal="center"/>
      <protection hidden="1"/>
    </xf>
    <xf numFmtId="0" fontId="64" fillId="29" borderId="0" xfId="52" applyFont="1" applyFill="1" applyAlignment="1" applyProtection="1">
      <alignment horizontal="left"/>
      <protection hidden="1"/>
    </xf>
    <xf numFmtId="0" fontId="189" fillId="29" borderId="10" xfId="52" applyFont="1" applyFill="1" applyBorder="1" applyProtection="1">
      <protection hidden="1"/>
    </xf>
    <xf numFmtId="0" fontId="95" fillId="29" borderId="10" xfId="52" applyFont="1" applyFill="1" applyBorder="1" applyAlignment="1" applyProtection="1">
      <alignment horizontal="center"/>
      <protection hidden="1"/>
    </xf>
    <xf numFmtId="0" fontId="65" fillId="29" borderId="10" xfId="52" applyFont="1" applyFill="1" applyBorder="1" applyAlignment="1" applyProtection="1">
      <alignment horizontal="center"/>
      <protection hidden="1"/>
    </xf>
    <xf numFmtId="0" fontId="190" fillId="29" borderId="74" xfId="52" applyFont="1" applyFill="1" applyBorder="1" applyProtection="1">
      <protection hidden="1"/>
    </xf>
    <xf numFmtId="0" fontId="65" fillId="29" borderId="21" xfId="52" applyFont="1" applyFill="1" applyBorder="1" applyAlignment="1" applyProtection="1">
      <alignment horizontal="center"/>
      <protection hidden="1"/>
    </xf>
    <xf numFmtId="0" fontId="189" fillId="29" borderId="10" xfId="52" applyFont="1" applyFill="1" applyBorder="1" applyAlignment="1" applyProtection="1">
      <alignment horizontal="center"/>
      <protection hidden="1"/>
    </xf>
    <xf numFmtId="9" fontId="65" fillId="29" borderId="34" xfId="52" applyNumberFormat="1" applyFont="1" applyFill="1" applyBorder="1" applyAlignment="1" applyProtection="1">
      <alignment horizontal="center"/>
      <protection hidden="1"/>
    </xf>
    <xf numFmtId="9" fontId="65" fillId="29" borderId="51" xfId="52" applyNumberFormat="1" applyFont="1" applyFill="1" applyBorder="1" applyAlignment="1" applyProtection="1">
      <alignment horizontal="center"/>
      <protection hidden="1"/>
    </xf>
    <xf numFmtId="4" fontId="64" fillId="29" borderId="20" xfId="52" applyNumberFormat="1" applyFont="1" applyFill="1" applyBorder="1" applyAlignment="1" applyProtection="1">
      <alignment horizontal="center"/>
      <protection hidden="1"/>
    </xf>
    <xf numFmtId="10" fontId="64" fillId="29" borderId="10" xfId="52" applyNumberFormat="1" applyFont="1" applyFill="1" applyBorder="1" applyProtection="1">
      <protection hidden="1"/>
    </xf>
    <xf numFmtId="9" fontId="65" fillId="29" borderId="52" xfId="52" applyNumberFormat="1" applyFont="1" applyFill="1" applyBorder="1" applyAlignment="1" applyProtection="1">
      <alignment horizontal="center"/>
      <protection hidden="1"/>
    </xf>
    <xf numFmtId="0" fontId="65" fillId="29" borderId="18" xfId="52" applyFont="1" applyFill="1" applyBorder="1" applyAlignment="1" applyProtection="1">
      <alignment horizontal="center"/>
      <protection hidden="1"/>
    </xf>
    <xf numFmtId="0" fontId="65" fillId="29" borderId="18" xfId="52" applyFont="1" applyFill="1" applyBorder="1" applyProtection="1">
      <protection hidden="1"/>
    </xf>
    <xf numFmtId="0" fontId="65" fillId="29" borderId="22" xfId="52" applyFont="1" applyFill="1" applyBorder="1" applyAlignment="1" applyProtection="1">
      <alignment horizontal="center"/>
      <protection hidden="1"/>
    </xf>
    <xf numFmtId="10" fontId="65" fillId="29" borderId="10" xfId="52" applyNumberFormat="1" applyFont="1" applyFill="1" applyBorder="1" applyAlignment="1" applyProtection="1">
      <alignment horizontal="center"/>
      <protection hidden="1"/>
    </xf>
    <xf numFmtId="4" fontId="65" fillId="29" borderId="10" xfId="52" applyNumberFormat="1" applyFont="1" applyFill="1" applyBorder="1" applyAlignment="1" applyProtection="1">
      <alignment horizontal="center"/>
      <protection hidden="1"/>
    </xf>
    <xf numFmtId="0" fontId="65" fillId="29" borderId="31" xfId="52" applyFont="1" applyFill="1" applyBorder="1" applyAlignment="1" applyProtection="1">
      <alignment horizontal="center"/>
      <protection hidden="1"/>
    </xf>
    <xf numFmtId="10" fontId="65" fillId="29" borderId="31" xfId="52" applyNumberFormat="1" applyFont="1" applyFill="1" applyBorder="1" applyAlignment="1" applyProtection="1">
      <alignment horizontal="center"/>
      <protection hidden="1"/>
    </xf>
    <xf numFmtId="4" fontId="64" fillId="29" borderId="20" xfId="52" applyNumberFormat="1" applyFont="1" applyFill="1" applyBorder="1" applyProtection="1">
      <protection hidden="1"/>
    </xf>
    <xf numFmtId="0" fontId="95" fillId="29" borderId="21" xfId="52" applyFont="1" applyFill="1" applyBorder="1" applyAlignment="1" applyProtection="1">
      <alignment horizontal="center"/>
      <protection hidden="1"/>
    </xf>
    <xf numFmtId="4" fontId="64" fillId="29" borderId="74" xfId="52" applyNumberFormat="1" applyFont="1" applyFill="1" applyBorder="1" applyProtection="1">
      <protection hidden="1"/>
    </xf>
    <xf numFmtId="4" fontId="64" fillId="29" borderId="34" xfId="52" applyNumberFormat="1" applyFont="1" applyFill="1" applyBorder="1" applyProtection="1">
      <protection hidden="1"/>
    </xf>
    <xf numFmtId="4" fontId="65" fillId="29" borderId="0" xfId="52" applyNumberFormat="1" applyFont="1" applyFill="1" applyAlignment="1" applyProtection="1">
      <alignment horizontal="center"/>
      <protection hidden="1"/>
    </xf>
    <xf numFmtId="4" fontId="64" fillId="29" borderId="88" xfId="52" applyNumberFormat="1" applyFont="1" applyFill="1" applyBorder="1" applyProtection="1">
      <protection hidden="1"/>
    </xf>
    <xf numFmtId="4" fontId="64" fillId="29" borderId="21" xfId="52" applyNumberFormat="1" applyFont="1" applyFill="1" applyBorder="1" applyProtection="1">
      <protection hidden="1"/>
    </xf>
    <xf numFmtId="10" fontId="65" fillId="29" borderId="45" xfId="52" applyNumberFormat="1" applyFont="1" applyFill="1" applyBorder="1" applyAlignment="1" applyProtection="1">
      <alignment horizontal="center"/>
      <protection hidden="1"/>
    </xf>
    <xf numFmtId="0" fontId="65" fillId="29" borderId="50" xfId="52" applyFont="1" applyFill="1" applyBorder="1" applyAlignment="1" applyProtection="1">
      <alignment horizontal="center"/>
      <protection hidden="1"/>
    </xf>
    <xf numFmtId="10" fontId="65" fillId="29" borderId="0" xfId="52" applyNumberFormat="1" applyFont="1" applyFill="1" applyProtection="1">
      <protection hidden="1"/>
    </xf>
    <xf numFmtId="0" fontId="95" fillId="29" borderId="91" xfId="52" applyFont="1" applyFill="1" applyBorder="1" applyAlignment="1" applyProtection="1">
      <alignment horizontal="center"/>
      <protection hidden="1"/>
    </xf>
    <xf numFmtId="0" fontId="65" fillId="29" borderId="91" xfId="52" applyFont="1" applyFill="1" applyBorder="1" applyAlignment="1" applyProtection="1">
      <alignment horizontal="center"/>
      <protection hidden="1"/>
    </xf>
    <xf numFmtId="0" fontId="64" fillId="29" borderId="90" xfId="52" applyFont="1" applyFill="1" applyBorder="1" applyAlignment="1" applyProtection="1">
      <alignment horizontal="center"/>
      <protection hidden="1"/>
    </xf>
    <xf numFmtId="4" fontId="64" fillId="29" borderId="89" xfId="52" applyNumberFormat="1" applyFont="1" applyFill="1" applyBorder="1" applyProtection="1">
      <protection hidden="1"/>
    </xf>
    <xf numFmtId="10" fontId="186" fillId="29" borderId="89" xfId="52" applyNumberFormat="1" applyFont="1" applyFill="1" applyBorder="1" applyAlignment="1" applyProtection="1">
      <alignment horizontal="center"/>
      <protection hidden="1"/>
    </xf>
    <xf numFmtId="4" fontId="65" fillId="29" borderId="89" xfId="52" applyNumberFormat="1" applyFont="1" applyFill="1" applyBorder="1" applyProtection="1">
      <protection hidden="1"/>
    </xf>
    <xf numFmtId="0" fontId="191" fillId="29" borderId="0" xfId="52" applyFont="1" applyFill="1" applyProtection="1">
      <protection hidden="1"/>
    </xf>
    <xf numFmtId="0" fontId="64" fillId="29" borderId="0" xfId="52" applyFont="1" applyFill="1" applyProtection="1">
      <protection hidden="1"/>
    </xf>
    <xf numFmtId="10" fontId="191" fillId="29" borderId="10" xfId="52" applyNumberFormat="1" applyFont="1" applyFill="1" applyBorder="1" applyAlignment="1" applyProtection="1">
      <alignment horizontal="center"/>
      <protection hidden="1"/>
    </xf>
    <xf numFmtId="2" fontId="95" fillId="29" borderId="10" xfId="52" applyNumberFormat="1" applyFont="1" applyFill="1" applyBorder="1" applyProtection="1">
      <protection hidden="1"/>
    </xf>
    <xf numFmtId="4" fontId="95" fillId="29" borderId="35" xfId="52" applyNumberFormat="1" applyFont="1" applyFill="1" applyBorder="1" applyProtection="1">
      <protection hidden="1"/>
    </xf>
    <xf numFmtId="10" fontId="186" fillId="29" borderId="18" xfId="52" applyNumberFormat="1" applyFont="1" applyFill="1" applyBorder="1" applyAlignment="1" applyProtection="1">
      <alignment horizontal="center"/>
      <protection hidden="1"/>
    </xf>
    <xf numFmtId="4" fontId="95" fillId="29" borderId="10" xfId="52" applyNumberFormat="1" applyFont="1" applyFill="1" applyBorder="1" applyProtection="1">
      <protection hidden="1"/>
    </xf>
    <xf numFmtId="3" fontId="95" fillId="29" borderId="10" xfId="52" applyNumberFormat="1" applyFont="1" applyFill="1" applyBorder="1" applyProtection="1">
      <protection hidden="1"/>
    </xf>
    <xf numFmtId="0" fontId="95" fillId="29" borderId="10" xfId="52" applyFont="1" applyFill="1" applyBorder="1" applyProtection="1">
      <protection hidden="1"/>
    </xf>
    <xf numFmtId="3" fontId="95" fillId="29" borderId="10" xfId="52" applyNumberFormat="1" applyFont="1" applyFill="1" applyBorder="1" applyAlignment="1" applyProtection="1">
      <alignment horizontal="center"/>
      <protection hidden="1"/>
    </xf>
    <xf numFmtId="10" fontId="65" fillId="29" borderId="0" xfId="52" applyNumberFormat="1" applyFont="1" applyFill="1" applyAlignment="1" applyProtection="1">
      <alignment horizontal="center"/>
      <protection hidden="1"/>
    </xf>
    <xf numFmtId="4" fontId="65" fillId="29" borderId="0" xfId="52" applyNumberFormat="1" applyFont="1" applyFill="1" applyProtection="1">
      <protection hidden="1"/>
    </xf>
    <xf numFmtId="4" fontId="64" fillId="29" borderId="0" xfId="52" applyNumberFormat="1" applyFont="1" applyFill="1" applyProtection="1">
      <protection hidden="1"/>
    </xf>
    <xf numFmtId="10" fontId="191" fillId="29" borderId="0" xfId="52" applyNumberFormat="1" applyFont="1" applyFill="1" applyAlignment="1" applyProtection="1">
      <alignment horizontal="center"/>
      <protection hidden="1"/>
    </xf>
    <xf numFmtId="0" fontId="95" fillId="29" borderId="0" xfId="52" applyFont="1" applyFill="1" applyAlignment="1">
      <alignment horizontal="center"/>
    </xf>
    <xf numFmtId="4" fontId="64" fillId="29" borderId="18" xfId="52" applyNumberFormat="1" applyFont="1" applyFill="1" applyBorder="1" applyProtection="1">
      <protection hidden="1"/>
    </xf>
    <xf numFmtId="4" fontId="65" fillId="29" borderId="18" xfId="52" applyNumberFormat="1" applyFont="1" applyFill="1" applyBorder="1" applyProtection="1">
      <protection hidden="1"/>
    </xf>
    <xf numFmtId="0" fontId="104" fillId="0" borderId="117" xfId="69" applyFont="1" applyBorder="1" applyAlignment="1" applyProtection="1">
      <alignment horizontal="center" vertical="center"/>
      <protection locked="0"/>
    </xf>
    <xf numFmtId="0" fontId="104" fillId="0" borderId="118" xfId="69" applyFont="1" applyBorder="1" applyAlignment="1" applyProtection="1">
      <alignment horizontal="center" vertical="center"/>
      <protection locked="0"/>
    </xf>
    <xf numFmtId="0" fontId="13" fillId="39" borderId="120" xfId="68" applyFont="1" applyFill="1" applyBorder="1" applyAlignment="1">
      <alignment horizontal="center" vertical="center"/>
    </xf>
    <xf numFmtId="4" fontId="72" fillId="39" borderId="119" xfId="68" applyNumberFormat="1" applyFont="1" applyFill="1" applyBorder="1" applyAlignment="1">
      <alignment vertical="center"/>
    </xf>
    <xf numFmtId="4" fontId="13" fillId="32" borderId="115" xfId="68" applyNumberFormat="1" applyFont="1" applyFill="1" applyBorder="1" applyAlignment="1">
      <alignment horizontal="center" vertical="center"/>
    </xf>
    <xf numFmtId="10" fontId="11" fillId="39" borderId="116" xfId="68" applyNumberFormat="1" applyFont="1" applyFill="1" applyBorder="1" applyAlignment="1" applyProtection="1">
      <alignment horizontal="center" vertical="center"/>
      <protection locked="0"/>
    </xf>
    <xf numFmtId="49" fontId="119" fillId="52" borderId="120" xfId="68" applyNumberFormat="1" applyFont="1" applyFill="1" applyBorder="1" applyAlignment="1">
      <alignment horizontal="center" vertical="center"/>
    </xf>
    <xf numFmtId="0" fontId="104" fillId="47" borderId="120" xfId="69" applyFont="1" applyFill="1" applyBorder="1" applyAlignment="1" applyProtection="1">
      <alignment horizontal="center" vertical="center"/>
      <protection locked="0"/>
    </xf>
    <xf numFmtId="175" fontId="104" fillId="47" borderId="118" xfId="69" applyNumberFormat="1" applyFont="1" applyFill="1" applyBorder="1" applyAlignment="1" applyProtection="1">
      <alignment horizontal="center" vertical="center"/>
      <protection locked="0"/>
    </xf>
    <xf numFmtId="0" fontId="106" fillId="47" borderId="118" xfId="69" applyFont="1" applyFill="1" applyBorder="1" applyAlignment="1">
      <alignment vertical="center"/>
    </xf>
    <xf numFmtId="0" fontId="11" fillId="29" borderId="114" xfId="71" applyFont="1" applyFill="1" applyBorder="1" applyAlignment="1" applyProtection="1">
      <alignment horizontal="center"/>
      <protection hidden="1"/>
    </xf>
    <xf numFmtId="0" fontId="16" fillId="0" borderId="120" xfId="68" applyFont="1" applyBorder="1" applyAlignment="1" applyProtection="1">
      <alignment horizontal="center" vertical="center"/>
      <protection locked="0"/>
    </xf>
    <xf numFmtId="173" fontId="16" fillId="0" borderId="118" xfId="68" applyNumberFormat="1" applyFont="1" applyBorder="1" applyAlignment="1" applyProtection="1">
      <alignment horizontal="center" vertical="center"/>
      <protection locked="0"/>
    </xf>
    <xf numFmtId="1" fontId="16" fillId="0" borderId="118" xfId="68" applyNumberFormat="1" applyFont="1" applyBorder="1" applyAlignment="1" applyProtection="1">
      <alignment horizontal="center" vertical="center"/>
      <protection locked="0"/>
    </xf>
    <xf numFmtId="175" fontId="16" fillId="0" borderId="119" xfId="68" applyNumberFormat="1" applyFont="1" applyBorder="1" applyAlignment="1" applyProtection="1">
      <alignment horizontal="center" vertical="center"/>
      <protection locked="0"/>
    </xf>
    <xf numFmtId="0" fontId="192" fillId="43" borderId="21" xfId="69" applyFont="1" applyFill="1" applyBorder="1" applyAlignment="1">
      <alignment horizontal="center" vertical="center"/>
    </xf>
    <xf numFmtId="14" fontId="103" fillId="43" borderId="14" xfId="69" applyNumberFormat="1" applyFont="1" applyFill="1" applyBorder="1" applyAlignment="1">
      <alignment horizontal="center" vertical="center"/>
    </xf>
    <xf numFmtId="14" fontId="193" fillId="36" borderId="14" xfId="69" applyNumberFormat="1" applyFont="1" applyFill="1" applyBorder="1" applyAlignment="1">
      <alignment horizontal="center" vertical="center"/>
    </xf>
    <xf numFmtId="14" fontId="193" fillId="36" borderId="31" xfId="69" applyNumberFormat="1" applyFont="1" applyFill="1" applyBorder="1" applyAlignment="1">
      <alignment horizontal="center" vertical="center"/>
    </xf>
    <xf numFmtId="0" fontId="104" fillId="0" borderId="125" xfId="69" applyFont="1" applyBorder="1" applyAlignment="1" applyProtection="1">
      <alignment horizontal="center" vertical="center"/>
      <protection locked="0"/>
    </xf>
    <xf numFmtId="0" fontId="104" fillId="0" borderId="126" xfId="69" applyFont="1" applyBorder="1" applyAlignment="1" applyProtection="1">
      <alignment horizontal="center" vertical="center"/>
      <protection locked="0"/>
    </xf>
    <xf numFmtId="0" fontId="17" fillId="0" borderId="126" xfId="69" applyFont="1" applyBorder="1" applyAlignment="1" applyProtection="1">
      <alignment horizontal="center" vertical="center"/>
      <protection locked="0"/>
    </xf>
    <xf numFmtId="0" fontId="108" fillId="0" borderId="22" xfId="69" applyFont="1" applyBorder="1" applyAlignment="1" applyProtection="1">
      <alignment horizontal="center" vertical="center"/>
      <protection locked="0"/>
    </xf>
    <xf numFmtId="0" fontId="104" fillId="36" borderId="18" xfId="69" applyFont="1" applyFill="1" applyBorder="1" applyAlignment="1">
      <alignment horizontal="center" vertical="center"/>
    </xf>
    <xf numFmtId="0" fontId="104" fillId="36" borderId="126" xfId="69" applyFont="1" applyFill="1" applyBorder="1" applyAlignment="1">
      <alignment horizontal="center" vertical="center"/>
    </xf>
    <xf numFmtId="0" fontId="112" fillId="36" borderId="125" xfId="69" applyFont="1" applyFill="1" applyBorder="1" applyAlignment="1">
      <alignment horizontal="center" vertical="center"/>
    </xf>
    <xf numFmtId="0" fontId="112" fillId="36" borderId="126" xfId="69" applyFont="1" applyFill="1" applyBorder="1" applyAlignment="1">
      <alignment horizontal="center" vertical="center"/>
    </xf>
    <xf numFmtId="0" fontId="104" fillId="0" borderId="126" xfId="69" applyFont="1" applyBorder="1" applyAlignment="1" applyProtection="1">
      <alignment vertical="center"/>
      <protection locked="0"/>
    </xf>
    <xf numFmtId="0" fontId="36" fillId="29" borderId="126" xfId="81" applyFont="1" applyFill="1" applyBorder="1" applyAlignment="1" applyProtection="1">
      <alignment horizontal="center" vertical="center"/>
      <protection locked="0"/>
    </xf>
    <xf numFmtId="0" fontId="114" fillId="29" borderId="126" xfId="69" applyFont="1" applyFill="1" applyBorder="1" applyAlignment="1" applyProtection="1">
      <alignment vertical="center"/>
      <protection locked="0"/>
    </xf>
    <xf numFmtId="0" fontId="107" fillId="0" borderId="126" xfId="69" applyFont="1" applyBorder="1" applyAlignment="1" applyProtection="1">
      <alignment horizontal="center" vertical="center"/>
      <protection locked="0"/>
    </xf>
    <xf numFmtId="0" fontId="107" fillId="36" borderId="126" xfId="69" applyFont="1" applyFill="1" applyBorder="1" applyAlignment="1">
      <alignment horizontal="center" vertical="center"/>
    </xf>
    <xf numFmtId="0" fontId="139" fillId="0" borderId="124" xfId="81" applyFont="1" applyBorder="1" applyAlignment="1">
      <alignment horizontal="center" vertical="center"/>
    </xf>
    <xf numFmtId="0" fontId="11" fillId="29" borderId="127" xfId="81" applyFont="1" applyFill="1" applyBorder="1" applyAlignment="1" applyProtection="1">
      <alignment horizontal="center" vertical="center"/>
      <protection locked="0"/>
    </xf>
    <xf numFmtId="0" fontId="179" fillId="29" borderId="126" xfId="69" applyFont="1" applyFill="1" applyBorder="1" applyAlignment="1" applyProtection="1">
      <alignment vertical="center"/>
      <protection locked="0"/>
    </xf>
    <xf numFmtId="0" fontId="11" fillId="29" borderId="120" xfId="81" applyFont="1" applyFill="1" applyBorder="1" applyAlignment="1" applyProtection="1">
      <alignment horizontal="center" vertical="center"/>
      <protection locked="0"/>
    </xf>
    <xf numFmtId="0" fontId="36" fillId="29" borderId="118" xfId="81" applyFont="1" applyFill="1" applyBorder="1" applyAlignment="1" applyProtection="1">
      <alignment horizontal="center" vertical="center"/>
      <protection locked="0"/>
    </xf>
    <xf numFmtId="0" fontId="179" fillId="29" borderId="118" xfId="69" applyFont="1" applyFill="1" applyBorder="1" applyAlignment="1" applyProtection="1">
      <alignment vertical="center"/>
      <protection locked="0"/>
    </xf>
    <xf numFmtId="0" fontId="107" fillId="0" borderId="118" xfId="69" applyFont="1" applyBorder="1" applyAlignment="1" applyProtection="1">
      <alignment horizontal="center" vertical="center"/>
      <protection locked="0"/>
    </xf>
    <xf numFmtId="0" fontId="107" fillId="36" borderId="118" xfId="69" applyFont="1" applyFill="1" applyBorder="1" applyAlignment="1">
      <alignment horizontal="center" vertical="center"/>
    </xf>
    <xf numFmtId="0" fontId="139" fillId="0" borderId="119" xfId="81" applyFont="1" applyBorder="1" applyAlignment="1">
      <alignment horizontal="center" vertical="center"/>
    </xf>
    <xf numFmtId="9" fontId="104" fillId="47" borderId="18" xfId="69" applyNumberFormat="1" applyFont="1" applyFill="1" applyBorder="1" applyAlignment="1" applyProtection="1">
      <alignment horizontal="center" vertical="center"/>
      <protection locked="0"/>
    </xf>
    <xf numFmtId="0" fontId="45" fillId="0" borderId="125" xfId="68" applyFont="1" applyBorder="1" applyAlignment="1" applyProtection="1">
      <alignment horizontal="center" vertical="center"/>
      <protection locked="0"/>
    </xf>
    <xf numFmtId="0" fontId="104" fillId="0" borderId="121" xfId="69" applyFont="1" applyBorder="1" applyAlignment="1" applyProtection="1">
      <alignment horizontal="center" vertical="center"/>
      <protection locked="0"/>
    </xf>
    <xf numFmtId="0" fontId="17" fillId="0" borderId="121" xfId="69" applyFont="1" applyBorder="1" applyAlignment="1" applyProtection="1">
      <alignment horizontal="center" vertical="center"/>
      <protection locked="0"/>
    </xf>
    <xf numFmtId="0" fontId="118" fillId="29" borderId="126" xfId="69" applyFont="1" applyFill="1" applyBorder="1" applyAlignment="1" applyProtection="1">
      <alignment horizontal="center" vertical="center"/>
      <protection locked="0"/>
    </xf>
    <xf numFmtId="0" fontId="118" fillId="29" borderId="125" xfId="69" applyFont="1" applyFill="1" applyBorder="1" applyAlignment="1" applyProtection="1">
      <alignment horizontal="center" vertical="center"/>
      <protection locked="0"/>
    </xf>
    <xf numFmtId="0" fontId="117" fillId="29" borderId="126" xfId="69" applyFont="1" applyFill="1" applyBorder="1" applyAlignment="1" applyProtection="1">
      <alignment horizontal="center" vertical="center"/>
      <protection locked="0"/>
    </xf>
    <xf numFmtId="0" fontId="104" fillId="29" borderId="120" xfId="69" applyFont="1" applyFill="1" applyBorder="1" applyAlignment="1" applyProtection="1">
      <alignment horizontal="center" vertical="center"/>
      <protection locked="0"/>
    </xf>
    <xf numFmtId="0" fontId="106" fillId="29" borderId="126" xfId="69" applyFont="1" applyFill="1" applyBorder="1" applyAlignment="1" applyProtection="1">
      <alignment horizontal="center" vertical="center"/>
      <protection locked="0"/>
    </xf>
    <xf numFmtId="0" fontId="104" fillId="36" borderId="122" xfId="69" applyFont="1" applyFill="1" applyBorder="1" applyAlignment="1">
      <alignment horizontal="center" vertical="center"/>
    </xf>
    <xf numFmtId="0" fontId="13" fillId="39" borderId="127" xfId="68" applyFont="1" applyFill="1" applyBorder="1" applyAlignment="1" applyProtection="1">
      <alignment horizontal="center" vertical="center"/>
      <protection locked="0"/>
    </xf>
    <xf numFmtId="4" fontId="13" fillId="32" borderId="62" xfId="68" applyNumberFormat="1" applyFont="1" applyFill="1" applyBorder="1" applyAlignment="1">
      <alignment horizontal="center" vertical="center"/>
    </xf>
    <xf numFmtId="0" fontId="119" fillId="52" borderId="66" xfId="68" applyFont="1" applyFill="1" applyBorder="1" applyAlignment="1">
      <alignment horizontal="center" vertical="center"/>
    </xf>
    <xf numFmtId="10" fontId="11" fillId="39" borderId="124" xfId="68" applyNumberFormat="1" applyFont="1" applyFill="1" applyBorder="1" applyAlignment="1" applyProtection="1">
      <alignment horizontal="center" vertical="center"/>
      <protection locked="0"/>
    </xf>
    <xf numFmtId="4" fontId="13" fillId="32" borderId="129" xfId="68" applyNumberFormat="1" applyFont="1" applyFill="1" applyBorder="1" applyAlignment="1">
      <alignment horizontal="center" vertical="center"/>
    </xf>
    <xf numFmtId="10" fontId="11" fillId="39" borderId="131" xfId="68" applyNumberFormat="1" applyFont="1" applyFill="1" applyBorder="1" applyAlignment="1" applyProtection="1">
      <alignment horizontal="center" vertical="center"/>
      <protection locked="0"/>
    </xf>
    <xf numFmtId="49" fontId="119" fillId="52" borderId="127" xfId="68" applyNumberFormat="1" applyFont="1" applyFill="1" applyBorder="1" applyAlignment="1">
      <alignment horizontal="center" vertical="center"/>
    </xf>
    <xf numFmtId="0" fontId="119" fillId="52" borderId="124" xfId="68" applyFont="1" applyFill="1" applyBorder="1" applyAlignment="1">
      <alignment horizontal="center" vertical="center"/>
    </xf>
    <xf numFmtId="0" fontId="120" fillId="53" borderId="127" xfId="68" applyFont="1" applyFill="1" applyBorder="1" applyAlignment="1" applyProtection="1">
      <alignment horizontal="center" vertical="center"/>
      <protection locked="0"/>
    </xf>
    <xf numFmtId="0" fontId="13" fillId="39" borderId="127" xfId="68" applyFont="1" applyFill="1" applyBorder="1" applyAlignment="1">
      <alignment horizontal="center" vertical="center"/>
    </xf>
    <xf numFmtId="10" fontId="11" fillId="39" borderId="124" xfId="68" applyNumberFormat="1" applyFont="1" applyFill="1" applyBorder="1" applyAlignment="1">
      <alignment horizontal="center" vertical="center"/>
    </xf>
    <xf numFmtId="4" fontId="174" fillId="32" borderId="129" xfId="68" applyNumberFormat="1" applyFont="1" applyFill="1" applyBorder="1" applyAlignment="1">
      <alignment horizontal="center" vertical="center"/>
    </xf>
    <xf numFmtId="10" fontId="11" fillId="39" borderId="132" xfId="68" applyNumberFormat="1" applyFont="1" applyFill="1" applyBorder="1" applyAlignment="1" applyProtection="1">
      <alignment horizontal="center" vertical="center"/>
      <protection locked="0"/>
    </xf>
    <xf numFmtId="0" fontId="119" fillId="52" borderId="119" xfId="68" applyFont="1" applyFill="1" applyBorder="1" applyAlignment="1">
      <alignment horizontal="center" vertical="center"/>
    </xf>
    <xf numFmtId="0" fontId="12" fillId="46" borderId="43" xfId="81" applyFont="1" applyFill="1" applyBorder="1" applyAlignment="1">
      <alignment horizontal="center" vertical="center"/>
    </xf>
    <xf numFmtId="0" fontId="12" fillId="47" borderId="127" xfId="81" applyFont="1" applyFill="1" applyBorder="1" applyAlignment="1">
      <alignment horizontal="center" vertical="center"/>
    </xf>
    <xf numFmtId="0" fontId="122" fillId="47" borderId="126" xfId="30" applyFont="1" applyFill="1" applyBorder="1" applyAlignment="1" applyProtection="1">
      <alignment horizontal="center" vertical="center"/>
      <protection locked="0"/>
    </xf>
    <xf numFmtId="0" fontId="121" fillId="44" borderId="126" xfId="30" applyFont="1" applyFill="1" applyBorder="1" applyAlignment="1" applyProtection="1">
      <alignment horizontal="center" vertical="center"/>
      <protection locked="0"/>
    </xf>
    <xf numFmtId="0" fontId="115" fillId="44" borderId="126" xfId="30" applyFont="1" applyFill="1" applyBorder="1" applyAlignment="1" applyProtection="1">
      <alignment horizontal="center" vertical="center"/>
      <protection locked="0"/>
    </xf>
    <xf numFmtId="0" fontId="115" fillId="47" borderId="126" xfId="30" applyFont="1" applyFill="1" applyBorder="1" applyAlignment="1" applyProtection="1">
      <alignment horizontal="center" vertical="center"/>
      <protection locked="0"/>
    </xf>
    <xf numFmtId="0" fontId="121" fillId="47" borderId="126" xfId="30" applyFont="1" applyFill="1" applyBorder="1" applyAlignment="1" applyProtection="1">
      <alignment horizontal="center" vertical="center"/>
      <protection locked="0"/>
    </xf>
    <xf numFmtId="0" fontId="121" fillId="44" borderId="122" xfId="30" applyFont="1" applyFill="1" applyBorder="1" applyAlignment="1" applyProtection="1">
      <alignment horizontal="center" vertical="center"/>
      <protection locked="0"/>
    </xf>
    <xf numFmtId="0" fontId="115" fillId="44" borderId="122" xfId="30" applyFont="1" applyFill="1" applyBorder="1" applyAlignment="1" applyProtection="1">
      <alignment horizontal="center" vertical="center"/>
      <protection locked="0"/>
    </xf>
    <xf numFmtId="0" fontId="57" fillId="47" borderId="127" xfId="30" applyFill="1" applyBorder="1" applyAlignment="1" applyProtection="1">
      <alignment horizontal="center" vertical="center"/>
    </xf>
    <xf numFmtId="0" fontId="12" fillId="47" borderId="120" xfId="81" applyFont="1" applyFill="1" applyBorder="1" applyAlignment="1">
      <alignment horizontal="center" vertical="center"/>
    </xf>
    <xf numFmtId="0" fontId="104" fillId="44" borderId="127" xfId="69" applyFont="1" applyFill="1" applyBorder="1" applyAlignment="1" applyProtection="1">
      <alignment horizontal="center" vertical="center"/>
      <protection locked="0"/>
    </xf>
    <xf numFmtId="175" fontId="104" fillId="44" borderId="126" xfId="69" applyNumberFormat="1" applyFont="1" applyFill="1" applyBorder="1" applyAlignment="1" applyProtection="1">
      <alignment horizontal="center" vertical="center"/>
      <protection locked="0"/>
    </xf>
    <xf numFmtId="0" fontId="106" fillId="44" borderId="126" xfId="69" applyFont="1" applyFill="1" applyBorder="1" applyAlignment="1">
      <alignment horizontal="center" vertical="center"/>
    </xf>
    <xf numFmtId="0" fontId="57" fillId="48" borderId="127" xfId="30" applyFill="1" applyBorder="1" applyAlignment="1" applyProtection="1">
      <alignment horizontal="center" vertical="center"/>
      <protection locked="0"/>
    </xf>
    <xf numFmtId="0" fontId="118" fillId="48" borderId="126" xfId="69" applyFont="1" applyFill="1" applyBorder="1" applyAlignment="1" applyProtection="1">
      <alignment horizontal="center" vertical="center"/>
      <protection locked="0"/>
    </xf>
    <xf numFmtId="0" fontId="117" fillId="48" borderId="126" xfId="69" applyFont="1" applyFill="1" applyBorder="1" applyAlignment="1" applyProtection="1">
      <alignment horizontal="center" vertical="center"/>
      <protection locked="0"/>
    </xf>
    <xf numFmtId="175" fontId="117" fillId="48" borderId="126" xfId="69" applyNumberFormat="1" applyFont="1" applyFill="1" applyBorder="1" applyAlignment="1" applyProtection="1">
      <alignment horizontal="center" vertical="center"/>
      <protection locked="0"/>
    </xf>
    <xf numFmtId="0" fontId="104" fillId="48" borderId="127" xfId="69" applyFont="1" applyFill="1" applyBorder="1" applyAlignment="1" applyProtection="1">
      <alignment horizontal="center" vertical="center"/>
      <protection locked="0"/>
    </xf>
    <xf numFmtId="175" fontId="104" fillId="48" borderId="126" xfId="69" applyNumberFormat="1" applyFont="1" applyFill="1" applyBorder="1" applyAlignment="1" applyProtection="1">
      <alignment horizontal="center" vertical="center"/>
      <protection locked="0"/>
    </xf>
    <xf numFmtId="0" fontId="106" fillId="48" borderId="126" xfId="69" applyFont="1" applyFill="1" applyBorder="1" applyAlignment="1">
      <alignment horizontal="center" vertical="center"/>
    </xf>
    <xf numFmtId="0" fontId="108" fillId="48" borderId="126" xfId="69" applyFont="1" applyFill="1" applyBorder="1" applyAlignment="1">
      <alignment horizontal="center" vertical="center"/>
    </xf>
    <xf numFmtId="0" fontId="57" fillId="47" borderId="127" xfId="30" applyFill="1" applyBorder="1" applyAlignment="1" applyProtection="1">
      <alignment horizontal="center" vertical="center"/>
      <protection locked="0"/>
    </xf>
    <xf numFmtId="0" fontId="118" fillId="47" borderId="126" xfId="69" applyFont="1" applyFill="1" applyBorder="1" applyAlignment="1" applyProtection="1">
      <alignment horizontal="center" vertical="center"/>
      <protection locked="0"/>
    </xf>
    <xf numFmtId="0" fontId="117" fillId="47" borderId="126" xfId="69" applyFont="1" applyFill="1" applyBorder="1" applyAlignment="1" applyProtection="1">
      <alignment horizontal="center" vertical="center"/>
      <protection locked="0"/>
    </xf>
    <xf numFmtId="175" fontId="117" fillId="47" borderId="126" xfId="69" applyNumberFormat="1" applyFont="1" applyFill="1" applyBorder="1" applyAlignment="1" applyProtection="1">
      <alignment horizontal="center" vertical="center"/>
      <protection locked="0"/>
    </xf>
    <xf numFmtId="0" fontId="16" fillId="0" borderId="127" xfId="68" applyFont="1" applyBorder="1" applyAlignment="1" applyProtection="1">
      <alignment horizontal="center" vertical="center"/>
      <protection locked="0"/>
    </xf>
    <xf numFmtId="173" fontId="16" fillId="0" borderId="126" xfId="68" applyNumberFormat="1" applyFont="1" applyBorder="1" applyAlignment="1" applyProtection="1">
      <alignment horizontal="center" vertical="center"/>
      <protection locked="0"/>
    </xf>
    <xf numFmtId="1" fontId="16" fillId="0" borderId="126" xfId="68" applyNumberFormat="1" applyFont="1" applyBorder="1" applyAlignment="1" applyProtection="1">
      <alignment horizontal="center" vertical="center"/>
      <protection locked="0"/>
    </xf>
    <xf numFmtId="175" fontId="16" fillId="0" borderId="124" xfId="68" applyNumberFormat="1" applyFont="1" applyBorder="1" applyAlignment="1" applyProtection="1">
      <alignment horizontal="center" vertical="center"/>
      <protection locked="0"/>
    </xf>
    <xf numFmtId="0" fontId="11" fillId="29" borderId="130" xfId="71" applyFont="1" applyFill="1" applyBorder="1" applyAlignment="1" applyProtection="1">
      <alignment horizontal="center"/>
      <protection hidden="1"/>
    </xf>
    <xf numFmtId="0" fontId="106" fillId="0" borderId="125" xfId="69" applyFont="1" applyBorder="1" applyAlignment="1" applyProtection="1">
      <alignment horizontal="center" vertical="center"/>
      <protection locked="0"/>
    </xf>
    <xf numFmtId="0" fontId="106" fillId="0" borderId="126" xfId="69" applyFont="1" applyBorder="1" applyAlignment="1" applyProtection="1">
      <alignment horizontal="center" vertical="center"/>
      <protection locked="0"/>
    </xf>
    <xf numFmtId="0" fontId="57" fillId="44" borderId="35" xfId="30" applyFill="1" applyBorder="1" applyAlignment="1" applyProtection="1">
      <alignment horizontal="center" vertical="center"/>
      <protection locked="0"/>
    </xf>
    <xf numFmtId="0" fontId="57" fillId="44" borderId="126" xfId="30" applyFill="1" applyBorder="1" applyAlignment="1" applyProtection="1">
      <alignment horizontal="center" vertical="center"/>
      <protection locked="0"/>
    </xf>
    <xf numFmtId="175" fontId="117" fillId="29" borderId="126" xfId="69" applyNumberFormat="1" applyFont="1" applyFill="1" applyBorder="1" applyAlignment="1" applyProtection="1">
      <alignment horizontal="center" vertical="center"/>
      <protection locked="0"/>
    </xf>
    <xf numFmtId="175" fontId="104" fillId="29" borderId="118" xfId="69" applyNumberFormat="1" applyFont="1" applyFill="1" applyBorder="1" applyAlignment="1" applyProtection="1">
      <alignment horizontal="center" vertical="center"/>
      <protection locked="0"/>
    </xf>
    <xf numFmtId="0" fontId="15" fillId="29" borderId="128" xfId="81" applyFont="1" applyFill="1" applyBorder="1" applyAlignment="1" applyProtection="1">
      <alignment horizontal="center" vertical="center"/>
      <protection locked="0"/>
    </xf>
    <xf numFmtId="0" fontId="15" fillId="29" borderId="129" xfId="81" applyFont="1" applyFill="1" applyBorder="1" applyAlignment="1" applyProtection="1">
      <alignment horizontal="center" vertical="center"/>
      <protection locked="0"/>
    </xf>
    <xf numFmtId="0" fontId="104" fillId="36" borderId="127" xfId="69" applyFont="1" applyFill="1" applyBorder="1" applyAlignment="1">
      <alignment horizontal="center" vertical="center"/>
    </xf>
    <xf numFmtId="0" fontId="104" fillId="36" borderId="124" xfId="69" applyFont="1" applyFill="1" applyBorder="1" applyAlignment="1">
      <alignment horizontal="center" vertical="center"/>
    </xf>
    <xf numFmtId="0" fontId="104" fillId="0" borderId="126" xfId="69" applyFont="1" applyBorder="1" applyAlignment="1" applyProtection="1">
      <alignment horizontal="center" vertical="center"/>
      <protection locked="0"/>
    </xf>
    <xf numFmtId="0" fontId="104" fillId="0" borderId="124" xfId="69" applyFont="1" applyBorder="1" applyAlignment="1" applyProtection="1">
      <alignment horizontal="center" vertical="center"/>
      <protection locked="0"/>
    </xf>
    <xf numFmtId="169" fontId="110" fillId="0" borderId="126" xfId="57" applyNumberFormat="1" applyFont="1" applyBorder="1" applyAlignment="1">
      <alignment horizontal="center" vertical="center"/>
    </xf>
    <xf numFmtId="169" fontId="110" fillId="0" borderId="124" xfId="57" applyNumberFormat="1" applyFont="1" applyBorder="1" applyAlignment="1">
      <alignment horizontal="center" vertical="center"/>
    </xf>
    <xf numFmtId="0" fontId="17" fillId="0" borderId="126" xfId="69" applyFont="1" applyBorder="1" applyAlignment="1" applyProtection="1">
      <alignment horizontal="center" vertical="center"/>
      <protection locked="0"/>
    </xf>
    <xf numFmtId="0" fontId="17" fillId="0" borderId="124" xfId="69" applyFont="1" applyBorder="1" applyAlignment="1" applyProtection="1">
      <alignment horizontal="center" vertical="center"/>
      <protection locked="0"/>
    </xf>
    <xf numFmtId="168" fontId="75" fillId="0" borderId="125" xfId="57" applyNumberFormat="1" applyFont="1" applyBorder="1" applyAlignment="1" applyProtection="1">
      <alignment horizontal="center" vertical="center"/>
      <protection locked="0"/>
    </xf>
    <xf numFmtId="168" fontId="75" fillId="0" borderId="126" xfId="57" applyNumberFormat="1" applyFont="1" applyBorder="1" applyAlignment="1" applyProtection="1">
      <alignment horizontal="center" vertical="center"/>
      <protection locked="0"/>
    </xf>
    <xf numFmtId="0" fontId="57" fillId="0" borderId="125" xfId="30" applyBorder="1" applyAlignment="1">
      <alignment horizontal="center" vertical="center"/>
      <protection locked="0"/>
    </xf>
    <xf numFmtId="0" fontId="57" fillId="0" borderId="126" xfId="30" applyBorder="1" applyAlignment="1">
      <alignment horizontal="center" vertical="center"/>
      <protection locked="0"/>
    </xf>
    <xf numFmtId="0" fontId="57" fillId="0" borderId="124" xfId="30" applyBorder="1" applyAlignment="1">
      <alignment horizontal="center" vertical="center"/>
      <protection locked="0"/>
    </xf>
    <xf numFmtId="0" fontId="104" fillId="0" borderId="27" xfId="69" applyFont="1" applyBorder="1" applyAlignment="1" applyProtection="1">
      <alignment horizontal="center" vertical="center"/>
      <protection locked="0"/>
    </xf>
    <xf numFmtId="0" fontId="104" fillId="0" borderId="22" xfId="69" applyFont="1" applyBorder="1" applyAlignment="1" applyProtection="1">
      <alignment horizontal="center" vertical="center"/>
      <protection locked="0"/>
    </xf>
    <xf numFmtId="0" fontId="104" fillId="36" borderId="120" xfId="69" applyFont="1" applyFill="1" applyBorder="1" applyAlignment="1">
      <alignment horizontal="center" vertical="center"/>
    </xf>
    <xf numFmtId="0" fontId="104" fillId="36" borderId="119" xfId="69" applyFont="1" applyFill="1" applyBorder="1" applyAlignment="1">
      <alignment horizontal="center" vertical="center"/>
    </xf>
    <xf numFmtId="0" fontId="57" fillId="0" borderId="121" xfId="30" applyBorder="1" applyAlignment="1">
      <alignment horizontal="center" vertical="center"/>
      <protection locked="0"/>
    </xf>
    <xf numFmtId="0" fontId="57" fillId="0" borderId="122" xfId="30" applyBorder="1" applyAlignment="1">
      <alignment horizontal="center" vertical="center"/>
      <protection locked="0"/>
    </xf>
    <xf numFmtId="0" fontId="57" fillId="0" borderId="123" xfId="30" applyBorder="1" applyAlignment="1">
      <alignment horizontal="center" vertical="center"/>
      <protection locked="0"/>
    </xf>
    <xf numFmtId="0" fontId="105" fillId="34" borderId="12" xfId="69" applyFont="1" applyFill="1" applyBorder="1" applyAlignment="1">
      <alignment horizontal="center" vertical="center"/>
    </xf>
    <xf numFmtId="0" fontId="105" fillId="34" borderId="13" xfId="69" applyFont="1" applyFill="1" applyBorder="1" applyAlignment="1">
      <alignment horizontal="center" vertical="center"/>
    </xf>
    <xf numFmtId="0" fontId="105" fillId="34" borderId="14" xfId="69" applyFont="1" applyFill="1" applyBorder="1" applyAlignment="1">
      <alignment horizontal="center" vertical="center"/>
    </xf>
    <xf numFmtId="0" fontId="57" fillId="43" borderId="13" xfId="30" applyNumberFormat="1" applyFill="1" applyBorder="1" applyAlignment="1" applyProtection="1">
      <alignment horizontal="center" vertical="center"/>
    </xf>
    <xf numFmtId="0" fontId="102" fillId="43" borderId="14" xfId="69" applyFont="1" applyFill="1" applyBorder="1" applyAlignment="1">
      <alignment horizontal="center" vertical="center"/>
    </xf>
    <xf numFmtId="0" fontId="102" fillId="42" borderId="12" xfId="69" applyFont="1" applyFill="1" applyBorder="1" applyAlignment="1">
      <alignment horizontal="center" vertical="center"/>
    </xf>
    <xf numFmtId="0" fontId="102" fillId="42" borderId="14" xfId="69" applyFont="1" applyFill="1" applyBorder="1" applyAlignment="1">
      <alignment horizontal="center" vertical="center"/>
    </xf>
    <xf numFmtId="0" fontId="106" fillId="0" borderId="126" xfId="69" applyFont="1" applyBorder="1" applyAlignment="1" applyProtection="1">
      <alignment horizontal="center" vertical="center"/>
      <protection locked="0"/>
    </xf>
    <xf numFmtId="0" fontId="106" fillId="0" borderId="124" xfId="69" applyFont="1" applyBorder="1" applyAlignment="1" applyProtection="1">
      <alignment horizontal="center" vertical="center"/>
      <protection locked="0"/>
    </xf>
    <xf numFmtId="14" fontId="104" fillId="29" borderId="15" xfId="69" applyNumberFormat="1" applyFont="1" applyFill="1" applyBorder="1" applyAlignment="1" applyProtection="1">
      <alignment horizontal="center" vertical="center"/>
      <protection locked="0"/>
    </xf>
    <xf numFmtId="14" fontId="104" fillId="29" borderId="17" xfId="69" applyNumberFormat="1" applyFont="1" applyFill="1" applyBorder="1" applyAlignment="1" applyProtection="1">
      <alignment horizontal="center" vertical="center"/>
      <protection locked="0"/>
    </xf>
    <xf numFmtId="0" fontId="104" fillId="36" borderId="43" xfId="69" applyFont="1" applyFill="1" applyBorder="1" applyAlignment="1">
      <alignment horizontal="center" vertical="center"/>
    </xf>
    <xf numFmtId="0" fontId="104" fillId="36" borderId="49" xfId="69" applyFont="1" applyFill="1" applyBorder="1" applyAlignment="1">
      <alignment horizontal="center" vertical="center"/>
    </xf>
    <xf numFmtId="0" fontId="104" fillId="0" borderId="70" xfId="69" applyFont="1" applyBorder="1" applyAlignment="1" applyProtection="1">
      <alignment horizontal="center" vertical="center"/>
      <protection locked="0"/>
    </xf>
    <xf numFmtId="0" fontId="104" fillId="0" borderId="38" xfId="69" applyFont="1" applyBorder="1" applyAlignment="1" applyProtection="1">
      <alignment horizontal="center" vertical="center"/>
      <protection locked="0"/>
    </xf>
    <xf numFmtId="173" fontId="15" fillId="29" borderId="126" xfId="81" applyNumberFormat="1" applyFont="1" applyFill="1" applyBorder="1" applyAlignment="1" applyProtection="1">
      <alignment horizontal="center" vertical="center"/>
      <protection locked="0"/>
    </xf>
    <xf numFmtId="173" fontId="15" fillId="29" borderId="124" xfId="81" applyNumberFormat="1" applyFont="1" applyFill="1" applyBorder="1" applyAlignment="1" applyProtection="1">
      <alignment horizontal="center" vertical="center"/>
      <protection locked="0"/>
    </xf>
    <xf numFmtId="14" fontId="104" fillId="36" borderId="12" xfId="69" applyNumberFormat="1" applyFont="1" applyFill="1" applyBorder="1" applyAlignment="1">
      <alignment horizontal="center" vertical="center"/>
    </xf>
    <xf numFmtId="14" fontId="104" fillId="36" borderId="14" xfId="69" applyNumberFormat="1" applyFont="1" applyFill="1" applyBorder="1" applyAlignment="1">
      <alignment horizontal="center" vertical="center"/>
    </xf>
    <xf numFmtId="0" fontId="112" fillId="36" borderId="126" xfId="69" applyFont="1" applyFill="1" applyBorder="1" applyAlignment="1">
      <alignment horizontal="center" vertical="center"/>
    </xf>
    <xf numFmtId="0" fontId="112" fillId="36" borderId="124" xfId="69" applyFont="1" applyFill="1" applyBorder="1" applyAlignment="1">
      <alignment horizontal="center" vertical="center"/>
    </xf>
    <xf numFmtId="0" fontId="106" fillId="0" borderId="22" xfId="69" applyFont="1" applyBorder="1" applyAlignment="1" applyProtection="1">
      <alignment horizontal="center" vertical="center"/>
      <protection locked="0"/>
    </xf>
    <xf numFmtId="0" fontId="106" fillId="0" borderId="18" xfId="69" applyFont="1" applyBorder="1" applyAlignment="1" applyProtection="1">
      <alignment horizontal="center" vertical="center"/>
      <protection locked="0"/>
    </xf>
    <xf numFmtId="0" fontId="106" fillId="0" borderId="54" xfId="69" applyFont="1" applyBorder="1" applyAlignment="1" applyProtection="1">
      <alignment horizontal="center" vertical="center"/>
      <protection locked="0"/>
    </xf>
    <xf numFmtId="0" fontId="104" fillId="0" borderId="125" xfId="69" applyFont="1" applyBorder="1" applyAlignment="1" applyProtection="1">
      <alignment horizontal="center" vertical="center"/>
      <protection locked="0"/>
    </xf>
    <xf numFmtId="0" fontId="104" fillId="0" borderId="26" xfId="69" applyFont="1" applyBorder="1" applyAlignment="1" applyProtection="1">
      <alignment horizontal="center" vertical="center"/>
      <protection locked="0"/>
    </xf>
    <xf numFmtId="0" fontId="104" fillId="0" borderId="44" xfId="69" applyFont="1" applyBorder="1" applyAlignment="1" applyProtection="1">
      <alignment horizontal="center" vertical="center"/>
      <protection locked="0"/>
    </xf>
    <xf numFmtId="0" fontId="15" fillId="29" borderId="126" xfId="81" applyFont="1" applyFill="1" applyBorder="1" applyAlignment="1" applyProtection="1">
      <alignment horizontal="center" vertical="center"/>
      <protection locked="0"/>
    </xf>
    <xf numFmtId="0" fontId="15" fillId="29" borderId="124" xfId="81" applyFont="1" applyFill="1" applyBorder="1" applyAlignment="1" applyProtection="1">
      <alignment horizontal="center" vertical="center"/>
      <protection locked="0"/>
    </xf>
    <xf numFmtId="3" fontId="104" fillId="0" borderId="126" xfId="69" applyNumberFormat="1" applyFont="1" applyBorder="1" applyAlignment="1" applyProtection="1">
      <alignment horizontal="center" vertical="center"/>
      <protection locked="0"/>
    </xf>
    <xf numFmtId="3" fontId="104" fillId="0" borderId="124" xfId="69" applyNumberFormat="1" applyFont="1" applyBorder="1" applyAlignment="1" applyProtection="1">
      <alignment horizontal="center" vertical="center"/>
      <protection locked="0"/>
    </xf>
    <xf numFmtId="0" fontId="104" fillId="36" borderId="114" xfId="69" applyFont="1" applyFill="1" applyBorder="1" applyAlignment="1">
      <alignment horizontal="center" vertical="center"/>
    </xf>
    <xf numFmtId="0" fontId="104" fillId="36" borderId="115" xfId="69" applyFont="1" applyFill="1" applyBorder="1" applyAlignment="1">
      <alignment horizontal="center" vertical="center"/>
    </xf>
    <xf numFmtId="0" fontId="107" fillId="55" borderId="56" xfId="69" applyFont="1" applyFill="1" applyBorder="1" applyAlignment="1" applyProtection="1">
      <alignment horizontal="center" vertical="center"/>
      <protection locked="0"/>
    </xf>
    <xf numFmtId="0" fontId="107" fillId="55" borderId="14" xfId="69" applyFont="1" applyFill="1" applyBorder="1" applyAlignment="1" applyProtection="1">
      <alignment horizontal="center" vertical="center"/>
      <protection locked="0"/>
    </xf>
    <xf numFmtId="0" fontId="17" fillId="0" borderId="125" xfId="69" applyFont="1" applyBorder="1" applyAlignment="1" applyProtection="1">
      <alignment horizontal="center" vertical="center"/>
      <protection locked="0"/>
    </xf>
    <xf numFmtId="0" fontId="108" fillId="36" borderId="128" xfId="69" applyFont="1" applyFill="1" applyBorder="1" applyAlignment="1">
      <alignment horizontal="center" vertical="center"/>
    </xf>
    <xf numFmtId="0" fontId="108" fillId="36" borderId="129" xfId="69" applyFont="1" applyFill="1" applyBorder="1" applyAlignment="1">
      <alignment horizontal="center" vertical="center"/>
    </xf>
    <xf numFmtId="0" fontId="112" fillId="29" borderId="130" xfId="69" applyFont="1" applyFill="1" applyBorder="1" applyAlignment="1" applyProtection="1">
      <alignment horizontal="center" vertical="center"/>
      <protection locked="0"/>
    </xf>
    <xf numFmtId="0" fontId="112" fillId="29" borderId="129" xfId="69" applyFont="1" applyFill="1" applyBorder="1" applyAlignment="1" applyProtection="1">
      <alignment horizontal="center" vertical="center"/>
      <protection locked="0"/>
    </xf>
    <xf numFmtId="0" fontId="111" fillId="0" borderId="125" xfId="30" applyFont="1" applyBorder="1" applyAlignment="1">
      <alignment horizontal="center" vertical="center"/>
      <protection locked="0"/>
    </xf>
    <xf numFmtId="0" fontId="111" fillId="0" borderId="126" xfId="30" applyFont="1" applyBorder="1" applyAlignment="1">
      <alignment horizontal="center" vertical="center"/>
      <protection locked="0"/>
    </xf>
    <xf numFmtId="0" fontId="111" fillId="0" borderId="124" xfId="30" applyFont="1" applyBorder="1" applyAlignment="1">
      <alignment horizontal="center" vertical="center"/>
      <protection locked="0"/>
    </xf>
    <xf numFmtId="0" fontId="104" fillId="36" borderId="130" xfId="69" applyFont="1" applyFill="1" applyBorder="1" applyAlignment="1">
      <alignment horizontal="center" vertical="center"/>
    </xf>
    <xf numFmtId="0" fontId="104" fillId="36" borderId="129" xfId="69" applyFont="1" applyFill="1" applyBorder="1" applyAlignment="1">
      <alignment horizontal="center" vertical="center"/>
    </xf>
    <xf numFmtId="0" fontId="57" fillId="0" borderId="131" xfId="30" applyBorder="1" applyAlignment="1" applyProtection="1">
      <alignment horizontal="center" vertical="center"/>
      <protection locked="0"/>
    </xf>
    <xf numFmtId="0" fontId="57" fillId="0" borderId="129" xfId="30" applyBorder="1" applyAlignment="1" applyProtection="1">
      <alignment horizontal="center" vertical="center"/>
      <protection locked="0"/>
    </xf>
    <xf numFmtId="0" fontId="57" fillId="0" borderId="125" xfId="30" applyBorder="1" applyAlignment="1" applyProtection="1">
      <alignment horizontal="center" vertical="center"/>
      <protection locked="0"/>
    </xf>
    <xf numFmtId="0" fontId="57" fillId="0" borderId="126" xfId="30" applyBorder="1" applyAlignment="1" applyProtection="1">
      <alignment horizontal="center" vertical="center"/>
      <protection locked="0"/>
    </xf>
    <xf numFmtId="0" fontId="57" fillId="0" borderId="124" xfId="30" applyBorder="1" applyAlignment="1" applyProtection="1">
      <alignment horizontal="center" vertical="center"/>
      <protection locked="0"/>
    </xf>
    <xf numFmtId="14" fontId="104" fillId="0" borderId="122" xfId="69" applyNumberFormat="1" applyFont="1" applyBorder="1" applyAlignment="1" applyProtection="1">
      <alignment horizontal="center" vertical="center"/>
      <protection locked="0"/>
    </xf>
    <xf numFmtId="14" fontId="104" fillId="0" borderId="123" xfId="69" applyNumberFormat="1" applyFont="1" applyBorder="1" applyAlignment="1" applyProtection="1">
      <alignment horizontal="center" vertical="center"/>
      <protection locked="0"/>
    </xf>
    <xf numFmtId="0" fontId="113" fillId="47" borderId="12" xfId="69" applyFont="1" applyFill="1" applyBorder="1" applyAlignment="1">
      <alignment horizontal="center" vertical="center"/>
    </xf>
    <xf numFmtId="0" fontId="113" fillId="47" borderId="13" xfId="69" applyFont="1" applyFill="1" applyBorder="1" applyAlignment="1">
      <alignment horizontal="center" vertical="center"/>
    </xf>
    <xf numFmtId="0" fontId="113" fillId="47" borderId="14" xfId="69" applyFont="1" applyFill="1" applyBorder="1" applyAlignment="1">
      <alignment horizontal="center" vertical="center"/>
    </xf>
    <xf numFmtId="3" fontId="104" fillId="0" borderId="122" xfId="69" applyNumberFormat="1" applyFont="1" applyBorder="1" applyAlignment="1" applyProtection="1">
      <alignment horizontal="center" vertical="center"/>
      <protection locked="0"/>
    </xf>
    <xf numFmtId="3" fontId="104" fillId="0" borderId="123" xfId="69" applyNumberFormat="1" applyFont="1" applyBorder="1" applyAlignment="1" applyProtection="1">
      <alignment horizontal="center" vertical="center"/>
      <protection locked="0"/>
    </xf>
    <xf numFmtId="0" fontId="116" fillId="34" borderId="12" xfId="69" applyFont="1" applyFill="1" applyBorder="1" applyAlignment="1">
      <alignment horizontal="center" vertical="center"/>
    </xf>
    <xf numFmtId="0" fontId="116" fillId="34" borderId="48" xfId="69" applyFont="1" applyFill="1" applyBorder="1" applyAlignment="1">
      <alignment horizontal="center" vertical="center"/>
    </xf>
    <xf numFmtId="0" fontId="113" fillId="34" borderId="56" xfId="69" applyFont="1" applyFill="1" applyBorder="1" applyAlignment="1">
      <alignment horizontal="center" vertical="center"/>
    </xf>
    <xf numFmtId="0" fontId="113" fillId="34" borderId="14" xfId="69" applyFont="1" applyFill="1" applyBorder="1" applyAlignment="1">
      <alignment horizontal="center" vertical="center"/>
    </xf>
    <xf numFmtId="0" fontId="106" fillId="36" borderId="64" xfId="69" applyFont="1" applyFill="1" applyBorder="1" applyAlignment="1">
      <alignment horizontal="center" vertical="center"/>
    </xf>
    <xf numFmtId="0" fontId="106" fillId="36" borderId="70" xfId="69" applyFont="1" applyFill="1" applyBorder="1" applyAlignment="1">
      <alignment horizontal="center" vertical="center"/>
    </xf>
    <xf numFmtId="0" fontId="107" fillId="55" borderId="35" xfId="69" applyFont="1" applyFill="1" applyBorder="1" applyAlignment="1" applyProtection="1">
      <alignment horizontal="center" vertical="center"/>
      <protection locked="0"/>
    </xf>
    <xf numFmtId="0" fontId="107" fillId="55" borderId="49" xfId="69" applyFont="1" applyFill="1" applyBorder="1" applyAlignment="1" applyProtection="1">
      <alignment horizontal="center" vertical="center"/>
      <protection locked="0"/>
    </xf>
    <xf numFmtId="0" fontId="117" fillId="36" borderId="127" xfId="69" applyFont="1" applyFill="1" applyBorder="1" applyAlignment="1">
      <alignment horizontal="center" vertical="center"/>
    </xf>
    <xf numFmtId="0" fontId="117" fillId="36" borderId="126" xfId="69" applyFont="1" applyFill="1" applyBorder="1" applyAlignment="1">
      <alignment horizontal="center" vertical="center"/>
    </xf>
    <xf numFmtId="0" fontId="117" fillId="36" borderId="124" xfId="69" applyFont="1" applyFill="1" applyBorder="1" applyAlignment="1">
      <alignment horizontal="center" vertical="center"/>
    </xf>
    <xf numFmtId="10" fontId="118" fillId="29" borderId="126" xfId="69" applyNumberFormat="1" applyFont="1" applyFill="1" applyBorder="1" applyAlignment="1" applyProtection="1">
      <alignment horizontal="center" vertical="center"/>
      <protection locked="0"/>
    </xf>
    <xf numFmtId="10" fontId="118" fillId="29" borderId="124" xfId="69" applyNumberFormat="1" applyFont="1" applyFill="1" applyBorder="1" applyAlignment="1" applyProtection="1">
      <alignment horizontal="center" vertical="center"/>
      <protection locked="0"/>
    </xf>
    <xf numFmtId="0" fontId="104" fillId="29" borderId="126" xfId="69" applyFont="1" applyFill="1" applyBorder="1" applyAlignment="1" applyProtection="1">
      <alignment horizontal="center" vertical="center"/>
      <protection locked="0"/>
    </xf>
    <xf numFmtId="0" fontId="104" fillId="29" borderId="124" xfId="69" applyFont="1" applyFill="1" applyBorder="1" applyAlignment="1" applyProtection="1">
      <alignment horizontal="center" vertical="center"/>
      <protection locked="0"/>
    </xf>
    <xf numFmtId="0" fontId="123" fillId="44" borderId="35" xfId="30" applyFont="1" applyFill="1" applyBorder="1" applyAlignment="1" applyProtection="1">
      <alignment horizontal="center" vertical="center"/>
      <protection locked="0"/>
    </xf>
    <xf numFmtId="0" fontId="123" fillId="44" borderId="49" xfId="30" applyFont="1" applyFill="1" applyBorder="1" applyAlignment="1" applyProtection="1">
      <alignment horizontal="center" vertical="center"/>
      <protection locked="0"/>
    </xf>
    <xf numFmtId="0" fontId="121" fillId="44" borderId="126" xfId="30" applyFont="1" applyFill="1" applyBorder="1" applyAlignment="1" applyProtection="1">
      <alignment horizontal="center" vertical="center"/>
      <protection locked="0"/>
    </xf>
    <xf numFmtId="0" fontId="121" fillId="44" borderId="124" xfId="30" applyFont="1" applyFill="1" applyBorder="1" applyAlignment="1" applyProtection="1">
      <alignment horizontal="center" vertical="center"/>
      <protection locked="0"/>
    </xf>
    <xf numFmtId="0" fontId="91" fillId="51" borderId="12" xfId="68" applyFont="1" applyFill="1" applyBorder="1" applyAlignment="1">
      <alignment horizontal="center" vertical="center"/>
    </xf>
    <xf numFmtId="0" fontId="91" fillId="51" borderId="14" xfId="68" applyFont="1" applyFill="1" applyBorder="1" applyAlignment="1">
      <alignment horizontal="center" vertical="center"/>
    </xf>
    <xf numFmtId="0" fontId="91" fillId="51" borderId="16" xfId="68" applyFont="1" applyFill="1" applyBorder="1" applyAlignment="1">
      <alignment horizontal="center" vertical="center"/>
    </xf>
    <xf numFmtId="0" fontId="91" fillId="51" borderId="17" xfId="68" applyFont="1" applyFill="1" applyBorder="1" applyAlignment="1">
      <alignment horizontal="center" vertical="center"/>
    </xf>
    <xf numFmtId="10" fontId="118" fillId="47" borderId="126" xfId="69" applyNumberFormat="1" applyFont="1" applyFill="1" applyBorder="1" applyAlignment="1" applyProtection="1">
      <alignment horizontal="center" vertical="center"/>
      <protection locked="0"/>
    </xf>
    <xf numFmtId="10" fontId="118" fillId="47" borderId="124" xfId="69" applyNumberFormat="1" applyFont="1" applyFill="1" applyBorder="1" applyAlignment="1" applyProtection="1">
      <alignment horizontal="center" vertical="center"/>
      <protection locked="0"/>
    </xf>
    <xf numFmtId="175" fontId="104" fillId="47" borderId="118" xfId="69" applyNumberFormat="1" applyFont="1" applyFill="1" applyBorder="1" applyAlignment="1" applyProtection="1">
      <alignment horizontal="center" vertical="center"/>
      <protection locked="0"/>
    </xf>
    <xf numFmtId="175" fontId="104" fillId="47" borderId="119" xfId="69" applyNumberFormat="1" applyFont="1" applyFill="1" applyBorder="1" applyAlignment="1" applyProtection="1">
      <alignment horizontal="center" vertical="center"/>
      <protection locked="0"/>
    </xf>
    <xf numFmtId="0" fontId="132" fillId="36" borderId="15" xfId="71" applyFont="1" applyFill="1" applyBorder="1" applyAlignment="1">
      <alignment horizontal="center" vertical="center" wrapText="1"/>
    </xf>
    <xf numFmtId="0" fontId="132" fillId="36" borderId="17" xfId="71" applyFont="1" applyFill="1" applyBorder="1" applyAlignment="1">
      <alignment horizontal="center" vertical="center" wrapText="1"/>
    </xf>
    <xf numFmtId="0" fontId="132" fillId="36" borderId="72" xfId="71" applyFont="1" applyFill="1" applyBorder="1" applyAlignment="1">
      <alignment horizontal="center" vertical="center" wrapText="1"/>
    </xf>
    <xf numFmtId="0" fontId="132" fillId="36" borderId="71" xfId="71" applyFont="1" applyFill="1" applyBorder="1" applyAlignment="1">
      <alignment horizontal="center" vertical="center" wrapText="1"/>
    </xf>
    <xf numFmtId="0" fontId="16" fillId="0" borderId="16" xfId="68" applyFont="1" applyBorder="1" applyAlignment="1">
      <alignment horizontal="right" vertical="center"/>
    </xf>
    <xf numFmtId="0" fontId="57" fillId="29" borderId="126" xfId="30" applyFill="1" applyBorder="1" applyAlignment="1" applyProtection="1">
      <alignment horizontal="center" vertical="center"/>
      <protection locked="0"/>
    </xf>
    <xf numFmtId="0" fontId="57" fillId="29" borderId="124" xfId="30" applyFill="1" applyBorder="1" applyAlignment="1" applyProtection="1">
      <alignment horizontal="center" vertical="center"/>
      <protection locked="0"/>
    </xf>
    <xf numFmtId="0" fontId="124" fillId="44" borderId="126" xfId="30" applyFont="1" applyFill="1" applyBorder="1" applyAlignment="1" applyProtection="1">
      <alignment horizontal="center" vertical="center" wrapText="1"/>
      <protection locked="0"/>
    </xf>
    <xf numFmtId="0" fontId="124" fillId="44" borderId="124" xfId="30" applyFont="1" applyFill="1" applyBorder="1" applyAlignment="1" applyProtection="1">
      <alignment horizontal="center" vertical="center" wrapText="1"/>
      <protection locked="0"/>
    </xf>
    <xf numFmtId="0" fontId="124" fillId="44" borderId="118" xfId="30" applyFont="1" applyFill="1" applyBorder="1" applyAlignment="1" applyProtection="1">
      <alignment horizontal="center" vertical="center" wrapText="1"/>
      <protection locked="0"/>
    </xf>
    <xf numFmtId="0" fontId="124" fillId="44" borderId="119" xfId="30" applyFont="1" applyFill="1" applyBorder="1" applyAlignment="1" applyProtection="1">
      <alignment horizontal="center" vertical="center" wrapText="1"/>
      <protection locked="0"/>
    </xf>
    <xf numFmtId="0" fontId="50" fillId="32" borderId="15" xfId="68" applyFont="1" applyFill="1" applyBorder="1" applyAlignment="1">
      <alignment horizontal="center" vertical="center"/>
    </xf>
    <xf numFmtId="0" fontId="50" fillId="32" borderId="16" xfId="68" applyFont="1" applyFill="1" applyBorder="1" applyAlignment="1">
      <alignment horizontal="center" vertical="center"/>
    </xf>
    <xf numFmtId="0" fontId="50" fillId="32" borderId="17" xfId="68" applyFont="1" applyFill="1" applyBorder="1" applyAlignment="1">
      <alignment horizontal="center" vertical="center"/>
    </xf>
    <xf numFmtId="10" fontId="118" fillId="44" borderId="35" xfId="69" applyNumberFormat="1" applyFont="1" applyFill="1" applyBorder="1" applyAlignment="1" applyProtection="1">
      <alignment horizontal="center" vertical="center"/>
      <protection locked="0"/>
    </xf>
    <xf numFmtId="10" fontId="118" fillId="44" borderId="49" xfId="69" applyNumberFormat="1" applyFont="1" applyFill="1" applyBorder="1" applyAlignment="1" applyProtection="1">
      <alignment horizontal="center" vertical="center"/>
      <protection locked="0"/>
    </xf>
    <xf numFmtId="175" fontId="104" fillId="44" borderId="126" xfId="69" applyNumberFormat="1" applyFont="1" applyFill="1" applyBorder="1" applyAlignment="1" applyProtection="1">
      <alignment horizontal="center" vertical="center"/>
      <protection locked="0"/>
    </xf>
    <xf numFmtId="175" fontId="104" fillId="44" borderId="124" xfId="69" applyNumberFormat="1" applyFont="1" applyFill="1" applyBorder="1" applyAlignment="1" applyProtection="1">
      <alignment horizontal="center" vertical="center"/>
      <protection locked="0"/>
    </xf>
    <xf numFmtId="10" fontId="118" fillId="48" borderId="126" xfId="69" applyNumberFormat="1" applyFont="1" applyFill="1" applyBorder="1" applyAlignment="1" applyProtection="1">
      <alignment horizontal="center" vertical="center"/>
      <protection locked="0"/>
    </xf>
    <xf numFmtId="10" fontId="118" fillId="48" borderId="124" xfId="69" applyNumberFormat="1" applyFont="1" applyFill="1" applyBorder="1" applyAlignment="1" applyProtection="1">
      <alignment horizontal="center" vertical="center"/>
      <protection locked="0"/>
    </xf>
    <xf numFmtId="175" fontId="104" fillId="48" borderId="126" xfId="69" applyNumberFormat="1" applyFont="1" applyFill="1" applyBorder="1" applyAlignment="1" applyProtection="1">
      <alignment horizontal="center" vertical="center"/>
      <protection locked="0"/>
    </xf>
    <xf numFmtId="175" fontId="104" fillId="48" borderId="124" xfId="69" applyNumberFormat="1" applyFont="1" applyFill="1" applyBorder="1" applyAlignment="1" applyProtection="1">
      <alignment horizontal="center" vertical="center"/>
      <protection locked="0"/>
    </xf>
    <xf numFmtId="0" fontId="35" fillId="34" borderId="20" xfId="0" applyFont="1" applyFill="1" applyBorder="1" applyAlignment="1">
      <alignment horizontal="center" vertical="center"/>
    </xf>
    <xf numFmtId="0" fontId="35" fillId="34" borderId="11" xfId="0" applyFont="1" applyFill="1" applyBorder="1" applyAlignment="1">
      <alignment horizontal="center" vertical="center"/>
    </xf>
    <xf numFmtId="0" fontId="35" fillId="34" borderId="29" xfId="0" applyFont="1" applyFill="1" applyBorder="1" applyAlignment="1">
      <alignment horizontal="center" vertical="center"/>
    </xf>
    <xf numFmtId="0" fontId="35" fillId="32" borderId="20" xfId="0" applyFont="1" applyFill="1" applyBorder="1" applyAlignment="1" applyProtection="1">
      <alignment horizontal="center" vertical="center"/>
      <protection locked="0"/>
    </xf>
    <xf numFmtId="0" fontId="35" fillId="32" borderId="58" xfId="0" applyFont="1" applyFill="1" applyBorder="1" applyAlignment="1" applyProtection="1">
      <alignment horizontal="center" vertical="center"/>
      <protection locked="0"/>
    </xf>
    <xf numFmtId="0" fontId="50" fillId="32" borderId="20" xfId="0" applyFont="1" applyFill="1" applyBorder="1" applyAlignment="1" applyProtection="1">
      <alignment horizontal="center" vertical="center"/>
      <protection locked="0"/>
    </xf>
    <xf numFmtId="0" fontId="50" fillId="32" borderId="11" xfId="0" applyFont="1" applyFill="1" applyBorder="1" applyAlignment="1" applyProtection="1">
      <alignment horizontal="center" vertical="center"/>
      <protection locked="0"/>
    </xf>
    <xf numFmtId="0" fontId="50" fillId="32" borderId="29" xfId="0" applyFont="1" applyFill="1" applyBorder="1" applyAlignment="1" applyProtection="1">
      <alignment horizontal="center" vertical="center"/>
      <protection locked="0"/>
    </xf>
    <xf numFmtId="0" fontId="16" fillId="34" borderId="33" xfId="0" applyFont="1" applyFill="1" applyBorder="1" applyAlignment="1">
      <alignment horizontal="center" vertical="center"/>
    </xf>
    <xf numFmtId="0" fontId="16" fillId="34" borderId="29" xfId="0" applyFont="1" applyFill="1" applyBorder="1" applyAlignment="1">
      <alignment horizontal="center" vertical="center"/>
    </xf>
    <xf numFmtId="0" fontId="50" fillId="34" borderId="33" xfId="0" applyFont="1" applyFill="1" applyBorder="1" applyAlignment="1">
      <alignment horizontal="center" vertical="center"/>
    </xf>
    <xf numFmtId="0" fontId="50" fillId="34" borderId="11" xfId="0" applyFont="1" applyFill="1" applyBorder="1" applyAlignment="1">
      <alignment horizontal="center" vertical="center"/>
    </xf>
    <xf numFmtId="0" fontId="50" fillId="34" borderId="29" xfId="0" applyFont="1" applyFill="1" applyBorder="1" applyAlignment="1">
      <alignment horizontal="center" vertical="center"/>
    </xf>
    <xf numFmtId="169" fontId="50" fillId="32" borderId="20" xfId="0" applyNumberFormat="1" applyFont="1" applyFill="1" applyBorder="1" applyAlignment="1" applyProtection="1">
      <alignment horizontal="center" vertical="center"/>
      <protection locked="0"/>
    </xf>
    <xf numFmtId="169" fontId="50" fillId="32" borderId="29" xfId="0" applyNumberFormat="1" applyFont="1" applyFill="1" applyBorder="1" applyAlignment="1" applyProtection="1">
      <alignment horizontal="center" vertical="center"/>
      <protection locked="0"/>
    </xf>
    <xf numFmtId="0" fontId="16" fillId="29" borderId="33" xfId="0" applyFont="1" applyFill="1" applyBorder="1" applyAlignment="1">
      <alignment horizontal="center" vertical="center"/>
    </xf>
    <xf numFmtId="0" fontId="16" fillId="29" borderId="11" xfId="0" applyFont="1" applyFill="1" applyBorder="1" applyAlignment="1">
      <alignment horizontal="center" vertical="center"/>
    </xf>
    <xf numFmtId="0" fontId="16" fillId="29" borderId="58" xfId="0" applyFont="1" applyFill="1" applyBorder="1" applyAlignment="1">
      <alignment horizontal="center" vertical="center"/>
    </xf>
    <xf numFmtId="0" fontId="40" fillId="29" borderId="33" xfId="0" applyFont="1" applyFill="1" applyBorder="1" applyAlignment="1">
      <alignment horizontal="center" vertical="center"/>
    </xf>
    <xf numFmtId="0" fontId="40" fillId="29" borderId="11" xfId="0" applyFont="1" applyFill="1" applyBorder="1" applyAlignment="1">
      <alignment horizontal="center" vertical="center"/>
    </xf>
    <xf numFmtId="0" fontId="40" fillId="29" borderId="58" xfId="0" applyFont="1" applyFill="1" applyBorder="1" applyAlignment="1">
      <alignment horizontal="center" vertical="center"/>
    </xf>
    <xf numFmtId="0" fontId="50" fillId="29" borderId="33" xfId="0" applyFont="1" applyFill="1" applyBorder="1" applyAlignment="1">
      <alignment horizontal="center" vertical="center"/>
    </xf>
    <xf numFmtId="0" fontId="50" fillId="29" borderId="11" xfId="0" applyFont="1" applyFill="1" applyBorder="1" applyAlignment="1">
      <alignment horizontal="center" vertical="center"/>
    </xf>
    <xf numFmtId="0" fontId="50" fillId="29" borderId="58" xfId="0" applyFont="1" applyFill="1" applyBorder="1" applyAlignment="1">
      <alignment horizontal="center" vertical="center"/>
    </xf>
    <xf numFmtId="175" fontId="90" fillId="32" borderId="20" xfId="0" applyNumberFormat="1" applyFont="1" applyFill="1" applyBorder="1" applyAlignment="1" applyProtection="1">
      <alignment horizontal="center" vertical="center"/>
      <protection locked="0"/>
    </xf>
    <xf numFmtId="175" fontId="90" fillId="32" borderId="29" xfId="0" applyNumberFormat="1" applyFont="1" applyFill="1" applyBorder="1" applyAlignment="1" applyProtection="1">
      <alignment horizontal="center" vertical="center"/>
      <protection locked="0"/>
    </xf>
    <xf numFmtId="0" fontId="50" fillId="29" borderId="33" xfId="0" applyFont="1" applyFill="1" applyBorder="1" applyAlignment="1" applyProtection="1">
      <alignment horizontal="center" vertical="center"/>
      <protection locked="0"/>
    </xf>
    <xf numFmtId="0" fontId="50" fillId="29" borderId="11" xfId="0" applyFont="1" applyFill="1" applyBorder="1" applyAlignment="1" applyProtection="1">
      <alignment horizontal="center" vertical="center"/>
      <protection locked="0"/>
    </xf>
    <xf numFmtId="0" fontId="50" fillId="29" borderId="58" xfId="0" applyFont="1" applyFill="1" applyBorder="1" applyAlignment="1" applyProtection="1">
      <alignment horizontal="center" vertical="center"/>
      <protection locked="0"/>
    </xf>
    <xf numFmtId="0" fontId="57" fillId="32" borderId="20" xfId="30" applyFill="1" applyBorder="1" applyAlignment="1" applyProtection="1">
      <alignment horizontal="center" vertical="center"/>
      <protection locked="0"/>
    </xf>
    <xf numFmtId="0" fontId="57" fillId="32" borderId="11" xfId="30" applyFill="1" applyBorder="1" applyAlignment="1" applyProtection="1">
      <alignment horizontal="center" vertical="center"/>
      <protection locked="0"/>
    </xf>
    <xf numFmtId="0" fontId="57" fillId="32" borderId="58" xfId="30" applyFill="1" applyBorder="1" applyAlignment="1" applyProtection="1">
      <alignment horizontal="center" vertical="center"/>
      <protection locked="0"/>
    </xf>
    <xf numFmtId="0" fontId="16" fillId="0" borderId="16" xfId="0" applyFont="1" applyBorder="1" applyAlignment="1">
      <alignment horizontal="right" vertical="center"/>
    </xf>
    <xf numFmtId="170" fontId="50" fillId="29" borderId="33" xfId="0" applyNumberFormat="1" applyFont="1" applyFill="1" applyBorder="1" applyAlignment="1">
      <alignment horizontal="center" vertical="center"/>
    </xf>
    <xf numFmtId="170" fontId="50" fillId="29" borderId="11" xfId="0" applyNumberFormat="1" applyFont="1" applyFill="1" applyBorder="1" applyAlignment="1">
      <alignment horizontal="center" vertical="center"/>
    </xf>
    <xf numFmtId="170" fontId="50" fillId="29" borderId="58" xfId="0" applyNumberFormat="1" applyFont="1" applyFill="1" applyBorder="1" applyAlignment="1">
      <alignment horizontal="center" vertical="center"/>
    </xf>
    <xf numFmtId="0" fontId="16" fillId="34" borderId="57" xfId="0" applyFont="1" applyFill="1" applyBorder="1" applyAlignment="1">
      <alignment horizontal="center" vertical="center"/>
    </xf>
    <xf numFmtId="0" fontId="16" fillId="34" borderId="17" xfId="0" applyFont="1" applyFill="1" applyBorder="1" applyAlignment="1">
      <alignment horizontal="center" vertical="center"/>
    </xf>
    <xf numFmtId="4" fontId="50" fillId="31" borderId="64" xfId="0" applyNumberFormat="1" applyFont="1" applyFill="1" applyBorder="1" applyAlignment="1">
      <alignment horizontal="center" vertical="center"/>
    </xf>
    <xf numFmtId="4" fontId="50" fillId="31" borderId="66" xfId="0" applyNumberFormat="1" applyFont="1" applyFill="1" applyBorder="1" applyAlignment="1">
      <alignment horizontal="center" vertical="center"/>
    </xf>
    <xf numFmtId="0" fontId="16" fillId="34" borderId="46" xfId="0" applyFont="1" applyFill="1" applyBorder="1" applyAlignment="1">
      <alignment horizontal="center" vertical="center"/>
    </xf>
    <xf numFmtId="0" fontId="50" fillId="32" borderId="38" xfId="0" applyFont="1" applyFill="1" applyBorder="1" applyAlignment="1" applyProtection="1">
      <alignment horizontal="center" vertical="center"/>
      <protection locked="0"/>
    </xf>
    <xf numFmtId="0" fontId="50" fillId="32" borderId="65" xfId="0" applyFont="1" applyFill="1" applyBorder="1" applyAlignment="1" applyProtection="1">
      <alignment horizontal="center" vertical="center"/>
      <protection locked="0"/>
    </xf>
    <xf numFmtId="0" fontId="50" fillId="32" borderId="70" xfId="0" applyFont="1" applyFill="1" applyBorder="1" applyAlignment="1" applyProtection="1">
      <alignment horizontal="center" vertical="center"/>
      <protection locked="0"/>
    </xf>
    <xf numFmtId="0" fontId="50" fillId="32" borderId="105" xfId="0" applyFont="1" applyFill="1" applyBorder="1" applyAlignment="1" applyProtection="1">
      <alignment horizontal="center" vertical="center"/>
      <protection locked="0"/>
    </xf>
    <xf numFmtId="0" fontId="50" fillId="32" borderId="111" xfId="0" applyFont="1" applyFill="1" applyBorder="1" applyAlignment="1" applyProtection="1">
      <alignment horizontal="center" vertical="center"/>
      <protection locked="0"/>
    </xf>
    <xf numFmtId="0" fontId="35" fillId="32" borderId="38" xfId="0" applyFont="1" applyFill="1" applyBorder="1" applyAlignment="1" applyProtection="1">
      <alignment horizontal="center" vertical="center"/>
      <protection locked="0" hidden="1"/>
    </xf>
    <xf numFmtId="0" fontId="35" fillId="32" borderId="65" xfId="0" applyFont="1" applyFill="1" applyBorder="1" applyAlignment="1" applyProtection="1">
      <alignment horizontal="center" vertical="center"/>
      <protection locked="0" hidden="1"/>
    </xf>
    <xf numFmtId="0" fontId="35" fillId="32" borderId="70" xfId="0" applyFont="1" applyFill="1" applyBorder="1" applyAlignment="1" applyProtection="1">
      <alignment horizontal="center" vertical="center"/>
      <protection locked="0" hidden="1"/>
    </xf>
    <xf numFmtId="0" fontId="139" fillId="32" borderId="39" xfId="0" applyFont="1" applyFill="1" applyBorder="1" applyAlignment="1" applyProtection="1">
      <alignment horizontal="center" vertical="center"/>
      <protection locked="0"/>
    </xf>
    <xf numFmtId="0" fontId="139" fillId="32" borderId="63" xfId="0" applyFont="1" applyFill="1" applyBorder="1" applyAlignment="1" applyProtection="1">
      <alignment horizontal="center" vertical="center"/>
      <protection locked="0"/>
    </xf>
    <xf numFmtId="0" fontId="139" fillId="32" borderId="19" xfId="0" applyFont="1" applyFill="1" applyBorder="1" applyAlignment="1" applyProtection="1">
      <alignment horizontal="center" vertical="center"/>
      <protection locked="0"/>
    </xf>
    <xf numFmtId="0" fontId="139" fillId="32" borderId="22" xfId="0" applyFont="1" applyFill="1" applyBorder="1" applyAlignment="1" applyProtection="1">
      <alignment horizontal="center" vertical="center"/>
      <protection locked="0"/>
    </xf>
    <xf numFmtId="0" fontId="16" fillId="32" borderId="20" xfId="0" applyFont="1" applyFill="1" applyBorder="1" applyAlignment="1" applyProtection="1">
      <alignment horizontal="center" vertical="center"/>
      <protection locked="0"/>
    </xf>
    <xf numFmtId="0" fontId="16" fillId="32" borderId="11" xfId="0" applyFont="1" applyFill="1" applyBorder="1" applyAlignment="1" applyProtection="1">
      <alignment horizontal="center" vertical="center"/>
      <protection locked="0"/>
    </xf>
    <xf numFmtId="0" fontId="16" fillId="32" borderId="58" xfId="0" applyFont="1" applyFill="1" applyBorder="1" applyAlignment="1" applyProtection="1">
      <alignment horizontal="center" vertical="center"/>
      <protection locked="0"/>
    </xf>
    <xf numFmtId="0" fontId="35" fillId="34" borderId="12" xfId="0" applyFont="1" applyFill="1" applyBorder="1" applyAlignment="1">
      <alignment horizontal="center" vertical="center"/>
    </xf>
    <xf numFmtId="0" fontId="35" fillId="34" borderId="13" xfId="0" applyFont="1" applyFill="1" applyBorder="1" applyAlignment="1">
      <alignment horizontal="center" vertical="center"/>
    </xf>
    <xf numFmtId="0" fontId="35" fillId="34" borderId="14" xfId="0" applyFont="1" applyFill="1" applyBorder="1" applyAlignment="1">
      <alignment horizontal="center" vertical="center"/>
    </xf>
    <xf numFmtId="4" fontId="87" fillId="29" borderId="35" xfId="0" applyNumberFormat="1" applyFont="1" applyFill="1" applyBorder="1" applyAlignment="1" applyProtection="1">
      <alignment horizontal="center" vertical="center"/>
      <protection locked="0"/>
    </xf>
    <xf numFmtId="0" fontId="87" fillId="29" borderId="35" xfId="0" applyFont="1" applyFill="1" applyBorder="1" applyAlignment="1" applyProtection="1">
      <alignment horizontal="center" vertical="center"/>
      <protection locked="0"/>
    </xf>
    <xf numFmtId="4" fontId="87" fillId="29" borderId="105" xfId="0" applyNumberFormat="1" applyFont="1" applyFill="1" applyBorder="1" applyAlignment="1" applyProtection="1">
      <alignment horizontal="center" vertical="center"/>
      <protection locked="0"/>
    </xf>
    <xf numFmtId="0" fontId="87" fillId="29" borderId="105" xfId="0" applyFont="1" applyFill="1" applyBorder="1" applyAlignment="1" applyProtection="1">
      <alignment horizontal="center" vertical="center"/>
      <protection locked="0"/>
    </xf>
    <xf numFmtId="4" fontId="87" fillId="29" borderId="111" xfId="0" applyNumberFormat="1" applyFont="1" applyFill="1" applyBorder="1" applyAlignment="1" applyProtection="1">
      <alignment horizontal="center" vertical="center"/>
      <protection locked="0"/>
    </xf>
    <xf numFmtId="0" fontId="87" fillId="29" borderId="111" xfId="0" applyFont="1" applyFill="1" applyBorder="1" applyAlignment="1" applyProtection="1">
      <alignment horizontal="center" vertical="center"/>
      <protection locked="0"/>
    </xf>
    <xf numFmtId="4" fontId="35" fillId="32" borderId="20" xfId="0" applyNumberFormat="1" applyFont="1" applyFill="1" applyBorder="1" applyAlignment="1" applyProtection="1">
      <alignment horizontal="center" vertical="center"/>
      <protection locked="0" hidden="1"/>
    </xf>
    <xf numFmtId="0" fontId="35" fillId="32" borderId="11" xfId="0" applyFont="1" applyFill="1" applyBorder="1" applyAlignment="1" applyProtection="1">
      <alignment horizontal="center" vertical="center"/>
      <protection locked="0" hidden="1"/>
    </xf>
    <xf numFmtId="0" fontId="35" fillId="32" borderId="29" xfId="0" applyFont="1" applyFill="1" applyBorder="1" applyAlignment="1" applyProtection="1">
      <alignment horizontal="center" vertical="center"/>
      <protection locked="0" hidden="1"/>
    </xf>
    <xf numFmtId="0" fontId="16" fillId="32" borderId="81" xfId="0" applyFont="1" applyFill="1" applyBorder="1" applyAlignment="1" applyProtection="1">
      <alignment horizontal="center" vertical="center"/>
      <protection locked="0"/>
    </xf>
    <xf numFmtId="0" fontId="16" fillId="32" borderId="82" xfId="0" applyFont="1" applyFill="1" applyBorder="1" applyAlignment="1" applyProtection="1">
      <alignment horizontal="center" vertical="center"/>
      <protection locked="0"/>
    </xf>
    <xf numFmtId="0" fontId="139" fillId="32" borderId="62" xfId="0" applyFont="1" applyFill="1" applyBorder="1" applyAlignment="1" applyProtection="1">
      <alignment horizontal="center" vertical="center"/>
      <protection locked="0"/>
    </xf>
    <xf numFmtId="0" fontId="139" fillId="32" borderId="20" xfId="0" applyFont="1" applyFill="1" applyBorder="1" applyAlignment="1" applyProtection="1">
      <alignment horizontal="center" vertical="center"/>
      <protection locked="0"/>
    </xf>
    <xf numFmtId="0" fontId="139" fillId="32" borderId="58" xfId="0" applyFont="1" applyFill="1" applyBorder="1" applyAlignment="1" applyProtection="1">
      <alignment horizontal="center" vertical="center"/>
      <protection locked="0"/>
    </xf>
    <xf numFmtId="0" fontId="35" fillId="32" borderId="19" xfId="0" applyFont="1" applyFill="1" applyBorder="1" applyAlignment="1" applyProtection="1">
      <alignment horizontal="center" vertical="center"/>
      <protection locked="0"/>
    </xf>
    <xf numFmtId="0" fontId="35" fillId="32" borderId="62" xfId="0" applyFont="1" applyFill="1" applyBorder="1" applyAlignment="1" applyProtection="1">
      <alignment horizontal="center" vertical="center"/>
      <protection locked="0"/>
    </xf>
    <xf numFmtId="0" fontId="50" fillId="29" borderId="68" xfId="0" applyFont="1" applyFill="1" applyBorder="1" applyAlignment="1" applyProtection="1">
      <alignment horizontal="center" vertical="center"/>
      <protection locked="0"/>
    </xf>
    <xf numFmtId="0" fontId="50" fillId="29" borderId="55" xfId="0" applyFont="1" applyFill="1" applyBorder="1" applyAlignment="1" applyProtection="1">
      <alignment horizontal="center" vertical="center"/>
      <protection locked="0"/>
    </xf>
    <xf numFmtId="0" fontId="50" fillId="29" borderId="63" xfId="0" applyFont="1" applyFill="1" applyBorder="1" applyAlignment="1" applyProtection="1">
      <alignment horizontal="center" vertical="center"/>
      <protection locked="0"/>
    </xf>
    <xf numFmtId="4" fontId="87" fillId="32" borderId="106" xfId="0" applyNumberFormat="1" applyFont="1" applyFill="1" applyBorder="1" applyAlignment="1" applyProtection="1">
      <alignment horizontal="center" vertical="center"/>
      <protection hidden="1"/>
    </xf>
    <xf numFmtId="4" fontId="87" fillId="32" borderId="107" xfId="0" applyNumberFormat="1" applyFont="1" applyFill="1" applyBorder="1" applyAlignment="1" applyProtection="1">
      <alignment horizontal="center" vertical="center"/>
      <protection hidden="1"/>
    </xf>
    <xf numFmtId="0" fontId="16" fillId="32" borderId="10" xfId="0" applyFont="1" applyFill="1" applyBorder="1" applyAlignment="1" applyProtection="1">
      <alignment horizontal="center" vertical="center"/>
      <protection locked="0"/>
    </xf>
    <xf numFmtId="0" fontId="16" fillId="32" borderId="32" xfId="0" applyFont="1" applyFill="1" applyBorder="1" applyAlignment="1" applyProtection="1">
      <alignment horizontal="center" vertical="center"/>
      <protection locked="0"/>
    </xf>
    <xf numFmtId="4" fontId="26" fillId="29" borderId="108" xfId="0" applyNumberFormat="1" applyFont="1" applyFill="1" applyBorder="1" applyAlignment="1" applyProtection="1">
      <alignment horizontal="center" vertical="center"/>
      <protection hidden="1"/>
    </xf>
    <xf numFmtId="0" fontId="26" fillId="29" borderId="107" xfId="0" applyFont="1" applyFill="1" applyBorder="1" applyAlignment="1" applyProtection="1">
      <alignment horizontal="center" vertical="center"/>
      <protection hidden="1"/>
    </xf>
    <xf numFmtId="0" fontId="135" fillId="29" borderId="38" xfId="0" applyFont="1" applyFill="1" applyBorder="1" applyAlignment="1" applyProtection="1">
      <alignment horizontal="center" vertical="center"/>
      <protection locked="0"/>
    </xf>
    <xf numFmtId="0" fontId="135" fillId="29" borderId="65" xfId="0" applyFont="1" applyFill="1" applyBorder="1" applyAlignment="1" applyProtection="1">
      <alignment horizontal="center" vertical="center"/>
      <protection locked="0"/>
    </xf>
    <xf numFmtId="0" fontId="135" fillId="29" borderId="66" xfId="0" applyFont="1" applyFill="1" applyBorder="1" applyAlignment="1" applyProtection="1">
      <alignment horizontal="center" vertical="center"/>
      <protection locked="0"/>
    </xf>
    <xf numFmtId="0" fontId="139" fillId="32" borderId="29" xfId="0" applyFont="1" applyFill="1" applyBorder="1" applyAlignment="1" applyProtection="1">
      <alignment horizontal="center" vertical="center"/>
      <protection locked="0"/>
    </xf>
    <xf numFmtId="0" fontId="50" fillId="31" borderId="108" xfId="0" applyFont="1" applyFill="1" applyBorder="1" applyAlignment="1">
      <alignment horizontal="center" vertical="center"/>
    </xf>
    <xf numFmtId="0" fontId="50" fillId="31" borderId="107" xfId="0" applyFont="1" applyFill="1" applyBorder="1" applyAlignment="1">
      <alignment horizontal="center" vertical="center"/>
    </xf>
    <xf numFmtId="0" fontId="139" fillId="32" borderId="67" xfId="0" applyFont="1" applyFill="1" applyBorder="1" applyAlignment="1" applyProtection="1">
      <alignment horizontal="center" vertical="center"/>
      <protection locked="0"/>
    </xf>
    <xf numFmtId="0" fontId="50" fillId="0" borderId="16" xfId="0" applyFont="1" applyBorder="1" applyAlignment="1">
      <alignment horizontal="left" vertical="center"/>
    </xf>
    <xf numFmtId="0" fontId="16" fillId="32" borderId="38" xfId="0" applyFont="1" applyFill="1" applyBorder="1" applyAlignment="1" applyProtection="1">
      <alignment horizontal="center" vertical="center"/>
      <protection locked="0"/>
    </xf>
    <xf numFmtId="0" fontId="16" fillId="32" borderId="65" xfId="0" applyFont="1" applyFill="1" applyBorder="1" applyAlignment="1" applyProtection="1">
      <alignment horizontal="center" vertical="center"/>
      <protection locked="0"/>
    </xf>
    <xf numFmtId="0" fontId="16" fillId="32" borderId="66" xfId="0" applyFont="1" applyFill="1" applyBorder="1" applyAlignment="1" applyProtection="1">
      <alignment horizontal="center" vertical="center"/>
      <protection locked="0"/>
    </xf>
    <xf numFmtId="0" fontId="50" fillId="31" borderId="101" xfId="0" applyFont="1" applyFill="1" applyBorder="1" applyAlignment="1">
      <alignment horizontal="center" vertical="center"/>
    </xf>
    <xf numFmtId="0" fontId="50" fillId="31" borderId="85" xfId="0" applyFont="1" applyFill="1" applyBorder="1" applyAlignment="1">
      <alignment horizontal="center" vertical="center"/>
    </xf>
    <xf numFmtId="2" fontId="35" fillId="0" borderId="72" xfId="0" applyNumberFormat="1" applyFont="1" applyBorder="1" applyAlignment="1" applyProtection="1">
      <alignment horizontal="center" vertical="center"/>
      <protection hidden="1"/>
    </xf>
    <xf numFmtId="2" fontId="35" fillId="0" borderId="71" xfId="0" applyNumberFormat="1" applyFont="1" applyBorder="1" applyAlignment="1" applyProtection="1">
      <alignment horizontal="center" vertical="center"/>
      <protection hidden="1"/>
    </xf>
    <xf numFmtId="2" fontId="35" fillId="0" borderId="79" xfId="0" applyNumberFormat="1" applyFont="1" applyBorder="1" applyAlignment="1" applyProtection="1">
      <alignment horizontal="center" vertical="center"/>
      <protection hidden="1"/>
    </xf>
    <xf numFmtId="0" fontId="139" fillId="32" borderId="38" xfId="0" applyFont="1" applyFill="1" applyBorder="1" applyAlignment="1" applyProtection="1">
      <alignment horizontal="center" vertical="center"/>
      <protection locked="0"/>
    </xf>
    <xf numFmtId="0" fontId="139" fillId="32" borderId="70" xfId="0" applyFont="1" applyFill="1" applyBorder="1" applyAlignment="1" applyProtection="1">
      <alignment horizontal="center" vertical="center"/>
      <protection locked="0"/>
    </xf>
    <xf numFmtId="0" fontId="50" fillId="34" borderId="40" xfId="0" applyFont="1" applyFill="1" applyBorder="1" applyAlignment="1" applyProtection="1">
      <alignment horizontal="center" vertical="center"/>
      <protection locked="0"/>
    </xf>
    <xf numFmtId="0" fontId="50" fillId="34" borderId="10" xfId="0" applyFont="1" applyFill="1" applyBorder="1" applyAlignment="1" applyProtection="1">
      <alignment horizontal="center" vertical="center"/>
      <protection locked="0"/>
    </xf>
    <xf numFmtId="0" fontId="50" fillId="0" borderId="68" xfId="0" applyFont="1" applyBorder="1" applyAlignment="1">
      <alignment horizontal="center" vertical="center"/>
    </xf>
    <xf numFmtId="0" fontId="50" fillId="0" borderId="55" xfId="0" applyFont="1" applyBorder="1" applyAlignment="1">
      <alignment horizontal="center" vertical="center"/>
    </xf>
    <xf numFmtId="0" fontId="35" fillId="0" borderId="55" xfId="0" applyFont="1" applyBorder="1" applyAlignment="1">
      <alignment horizontal="center" vertical="center"/>
    </xf>
    <xf numFmtId="0" fontId="35" fillId="0" borderId="63" xfId="0" applyFont="1" applyBorder="1" applyAlignment="1">
      <alignment horizontal="center" vertical="center"/>
    </xf>
    <xf numFmtId="0" fontId="16" fillId="32" borderId="18" xfId="0" applyFont="1" applyFill="1" applyBorder="1" applyAlignment="1" applyProtection="1">
      <alignment horizontal="center" vertical="center"/>
      <protection locked="0"/>
    </xf>
    <xf numFmtId="0" fontId="16" fillId="32" borderId="54" xfId="0" applyFont="1" applyFill="1" applyBorder="1" applyAlignment="1" applyProtection="1">
      <alignment horizontal="center" vertical="center"/>
      <protection locked="0"/>
    </xf>
    <xf numFmtId="0" fontId="50" fillId="34" borderId="12" xfId="0" applyFont="1" applyFill="1" applyBorder="1" applyAlignment="1" applyProtection="1">
      <alignment horizontal="center" vertical="center"/>
      <protection hidden="1"/>
    </xf>
    <xf numFmtId="0" fontId="50" fillId="34" borderId="14" xfId="0" applyFont="1" applyFill="1" applyBorder="1" applyAlignment="1" applyProtection="1">
      <alignment horizontal="center" vertical="center"/>
      <protection hidden="1"/>
    </xf>
    <xf numFmtId="0" fontId="35" fillId="0" borderId="65" xfId="0" applyFont="1" applyBorder="1" applyAlignment="1" applyProtection="1">
      <alignment horizontal="center" vertical="center"/>
      <protection hidden="1"/>
    </xf>
    <xf numFmtId="0" fontId="35" fillId="0" borderId="66" xfId="0" applyFont="1" applyBorder="1" applyAlignment="1" applyProtection="1">
      <alignment horizontal="center" vertical="center"/>
      <protection hidden="1"/>
    </xf>
    <xf numFmtId="0" fontId="35" fillId="32" borderId="0" xfId="0" applyFont="1" applyFill="1" applyAlignment="1" applyProtection="1">
      <alignment horizontal="center" vertical="center"/>
      <protection locked="0"/>
    </xf>
    <xf numFmtId="0" fontId="0" fillId="32" borderId="53" xfId="0" applyFill="1" applyBorder="1" applyAlignment="1" applyProtection="1">
      <alignment horizontal="center" vertical="center"/>
      <protection locked="0"/>
    </xf>
    <xf numFmtId="0" fontId="26" fillId="34" borderId="12" xfId="0" applyFont="1" applyFill="1" applyBorder="1" applyAlignment="1" applyProtection="1">
      <alignment horizontal="center" vertical="center"/>
      <protection hidden="1"/>
    </xf>
    <xf numFmtId="0" fontId="26" fillId="34" borderId="13" xfId="0" applyFont="1" applyFill="1" applyBorder="1" applyAlignment="1" applyProtection="1">
      <alignment horizontal="center" vertical="center"/>
      <protection hidden="1"/>
    </xf>
    <xf numFmtId="0" fontId="26" fillId="34" borderId="16" xfId="0" applyFont="1" applyFill="1" applyBorder="1" applyAlignment="1" applyProtection="1">
      <alignment horizontal="center" vertical="center"/>
      <protection hidden="1"/>
    </xf>
    <xf numFmtId="0" fontId="35" fillId="0" borderId="15" xfId="0" applyFont="1"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42" fillId="0" borderId="15" xfId="0" applyFont="1" applyBorder="1" applyAlignment="1" applyProtection="1">
      <alignment horizontal="center" vertical="center"/>
      <protection hidden="1"/>
    </xf>
    <xf numFmtId="0" fontId="42" fillId="0" borderId="16" xfId="0" applyFont="1" applyBorder="1" applyAlignment="1" applyProtection="1">
      <alignment horizontal="center" vertical="center"/>
      <protection hidden="1"/>
    </xf>
    <xf numFmtId="0" fontId="42" fillId="0" borderId="17" xfId="0" applyFont="1"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53" xfId="0" applyBorder="1" applyAlignment="1" applyProtection="1">
      <alignment horizontal="center" vertical="center"/>
      <protection hidden="1"/>
    </xf>
    <xf numFmtId="0" fontId="50" fillId="34" borderId="11" xfId="0" applyFont="1" applyFill="1" applyBorder="1" applyAlignment="1" applyProtection="1">
      <alignment horizontal="center" vertical="center"/>
      <protection hidden="1"/>
    </xf>
    <xf numFmtId="0" fontId="50" fillId="34" borderId="58" xfId="0" applyFont="1" applyFill="1" applyBorder="1" applyAlignment="1" applyProtection="1">
      <alignment horizontal="center" vertical="center"/>
      <protection hidden="1"/>
    </xf>
    <xf numFmtId="4" fontId="35" fillId="0" borderId="55" xfId="0" applyNumberFormat="1" applyFont="1" applyBorder="1" applyAlignment="1" applyProtection="1">
      <alignment horizontal="center" vertical="center"/>
      <protection hidden="1"/>
    </xf>
    <xf numFmtId="0" fontId="35" fillId="0" borderId="63" xfId="0" applyFont="1" applyBorder="1" applyAlignment="1" applyProtection="1">
      <alignment vertical="center"/>
      <protection hidden="1"/>
    </xf>
    <xf numFmtId="168" fontId="35" fillId="0" borderId="28" xfId="0" applyNumberFormat="1" applyFont="1" applyBorder="1" applyAlignment="1" applyProtection="1">
      <alignment horizontal="center" vertical="center"/>
      <protection hidden="1"/>
    </xf>
    <xf numFmtId="168" fontId="35" fillId="0" borderId="0" xfId="0" applyNumberFormat="1" applyFont="1" applyAlignment="1" applyProtection="1">
      <alignment horizontal="center" vertical="center"/>
      <protection hidden="1"/>
    </xf>
    <xf numFmtId="0" fontId="35" fillId="34" borderId="11" xfId="0" applyFont="1" applyFill="1" applyBorder="1" applyAlignment="1" applyProtection="1">
      <alignment horizontal="center" vertical="center"/>
      <protection hidden="1"/>
    </xf>
    <xf numFmtId="0" fontId="35" fillId="34" borderId="58" xfId="0" applyFont="1" applyFill="1" applyBorder="1" applyAlignment="1" applyProtection="1">
      <alignment horizontal="center" vertical="center"/>
      <protection hidden="1"/>
    </xf>
    <xf numFmtId="0" fontId="42" fillId="0" borderId="28" xfId="0" applyFont="1" applyBorder="1" applyAlignment="1" applyProtection="1">
      <alignment horizontal="center" vertical="center"/>
      <protection hidden="1"/>
    </xf>
    <xf numFmtId="0" fontId="42" fillId="0" borderId="0" xfId="0" applyFont="1" applyAlignment="1" applyProtection="1">
      <alignment horizontal="center" vertical="center"/>
      <protection hidden="1"/>
    </xf>
    <xf numFmtId="0" fontId="42" fillId="0" borderId="53" xfId="0" applyFont="1" applyBorder="1" applyAlignment="1" applyProtection="1">
      <alignment horizontal="center" vertical="center"/>
      <protection hidden="1"/>
    </xf>
    <xf numFmtId="3" fontId="35" fillId="0" borderId="0" xfId="0" applyNumberFormat="1" applyFont="1" applyAlignment="1" applyProtection="1">
      <alignment horizontal="center" vertical="center"/>
      <protection hidden="1"/>
    </xf>
    <xf numFmtId="3" fontId="35" fillId="0" borderId="53" xfId="0" applyNumberFormat="1" applyFont="1" applyBorder="1" applyAlignment="1" applyProtection="1">
      <alignment horizontal="center" vertical="center"/>
      <protection hidden="1"/>
    </xf>
    <xf numFmtId="14" fontId="45" fillId="0" borderId="0" xfId="0" applyNumberFormat="1" applyFont="1" applyAlignment="1" applyProtection="1">
      <alignment horizontal="center" vertical="center"/>
      <protection locked="0"/>
    </xf>
    <xf numFmtId="0" fontId="45" fillId="0" borderId="53" xfId="0" applyFont="1" applyBorder="1" applyAlignment="1" applyProtection="1">
      <alignment horizontal="center" vertical="center"/>
      <protection locked="0"/>
    </xf>
    <xf numFmtId="0" fontId="35" fillId="0" borderId="28" xfId="0" applyFont="1" applyBorder="1" applyAlignment="1" applyProtection="1">
      <alignment horizontal="center" vertical="center"/>
      <protection hidden="1"/>
    </xf>
    <xf numFmtId="0" fontId="35" fillId="0" borderId="0" xfId="0" applyFont="1" applyAlignment="1" applyProtection="1">
      <alignment horizontal="center" vertical="center"/>
      <protection hidden="1"/>
    </xf>
    <xf numFmtId="0" fontId="35" fillId="0" borderId="53" xfId="0" applyFont="1" applyBorder="1" applyAlignment="1" applyProtection="1">
      <alignment horizontal="center" vertical="center"/>
      <protection hidden="1"/>
    </xf>
    <xf numFmtId="2" fontId="10" fillId="25" borderId="72" xfId="0" applyNumberFormat="1" applyFont="1" applyFill="1" applyBorder="1" applyAlignment="1" applyProtection="1">
      <alignment horizontal="center"/>
      <protection locked="0"/>
    </xf>
    <xf numFmtId="2" fontId="10" fillId="25" borderId="71" xfId="0" applyNumberFormat="1" applyFont="1" applyFill="1" applyBorder="1" applyAlignment="1" applyProtection="1">
      <alignment horizontal="center"/>
      <protection locked="0"/>
    </xf>
    <xf numFmtId="2" fontId="10" fillId="25" borderId="79" xfId="0" applyNumberFormat="1" applyFont="1" applyFill="1" applyBorder="1" applyAlignment="1" applyProtection="1">
      <alignment horizontal="center"/>
      <protection locked="0"/>
    </xf>
    <xf numFmtId="0" fontId="16" fillId="32" borderId="39" xfId="0" applyFont="1" applyFill="1" applyBorder="1" applyAlignment="1" applyProtection="1">
      <alignment horizontal="center" vertical="center"/>
      <protection locked="0"/>
    </xf>
    <xf numFmtId="0" fontId="16" fillId="32" borderId="55" xfId="0" applyFont="1" applyFill="1" applyBorder="1" applyAlignment="1" applyProtection="1">
      <alignment horizontal="center" vertical="center"/>
      <protection locked="0"/>
    </xf>
    <xf numFmtId="0" fontId="16" fillId="32" borderId="63" xfId="0" applyFont="1" applyFill="1" applyBorder="1" applyAlignment="1" applyProtection="1">
      <alignment horizontal="center" vertical="center"/>
      <protection locked="0"/>
    </xf>
    <xf numFmtId="4" fontId="50" fillId="31" borderId="108" xfId="0" applyNumberFormat="1" applyFont="1" applyFill="1" applyBorder="1" applyAlignment="1">
      <alignment horizontal="center" vertical="center"/>
    </xf>
    <xf numFmtId="4" fontId="50" fillId="31" borderId="107" xfId="0" applyNumberFormat="1" applyFont="1" applyFill="1" applyBorder="1" applyAlignment="1">
      <alignment horizontal="center" vertical="center"/>
    </xf>
    <xf numFmtId="4" fontId="73" fillId="31" borderId="112" xfId="0" applyNumberFormat="1" applyFont="1" applyFill="1" applyBorder="1" applyAlignment="1">
      <alignment horizontal="center" vertical="center"/>
    </xf>
    <xf numFmtId="0" fontId="73" fillId="31" borderId="113" xfId="0" applyFont="1" applyFill="1" applyBorder="1" applyAlignment="1">
      <alignment horizontal="center" vertical="center"/>
    </xf>
    <xf numFmtId="4" fontId="16" fillId="32" borderId="112" xfId="0" applyNumberFormat="1" applyFont="1" applyFill="1" applyBorder="1" applyAlignment="1" applyProtection="1">
      <alignment horizontal="center" vertical="center"/>
      <protection locked="0"/>
    </xf>
    <xf numFmtId="4" fontId="16" fillId="32" borderId="110" xfId="0" applyNumberFormat="1" applyFont="1" applyFill="1" applyBorder="1" applyAlignment="1" applyProtection="1">
      <alignment horizontal="center" vertical="center"/>
      <protection locked="0"/>
    </xf>
    <xf numFmtId="0" fontId="16" fillId="31" borderId="61" xfId="0" applyFont="1" applyFill="1" applyBorder="1" applyAlignment="1" applyProtection="1">
      <alignment horizontal="center" vertical="center"/>
      <protection locked="0"/>
    </xf>
    <xf numFmtId="0" fontId="16" fillId="31" borderId="22" xfId="0" applyFont="1" applyFill="1" applyBorder="1" applyAlignment="1" applyProtection="1">
      <alignment horizontal="center" vertical="center"/>
      <protection locked="0"/>
    </xf>
    <xf numFmtId="0" fontId="73" fillId="31" borderId="110" xfId="0" applyFont="1" applyFill="1" applyBorder="1" applyAlignment="1">
      <alignment horizontal="center" vertical="center"/>
    </xf>
    <xf numFmtId="4" fontId="26" fillId="32" borderId="101" xfId="0" applyNumberFormat="1" applyFont="1" applyFill="1" applyBorder="1" applyAlignment="1" applyProtection="1">
      <alignment horizontal="center" vertical="center"/>
      <protection hidden="1"/>
    </xf>
    <xf numFmtId="0" fontId="26" fillId="32" borderId="85" xfId="0" applyFont="1" applyFill="1" applyBorder="1" applyAlignment="1" applyProtection="1">
      <alignment horizontal="center" vertical="center"/>
      <protection hidden="1"/>
    </xf>
    <xf numFmtId="0" fontId="50" fillId="31" borderId="61" xfId="0" applyFont="1" applyFill="1" applyBorder="1" applyAlignment="1">
      <alignment horizontal="center" vertical="center"/>
    </xf>
    <xf numFmtId="0" fontId="50" fillId="31" borderId="62" xfId="0" applyFont="1" applyFill="1" applyBorder="1" applyAlignment="1">
      <alignment horizontal="center" vertical="center"/>
    </xf>
    <xf numFmtId="0" fontId="35" fillId="34" borderId="56" xfId="0" applyFont="1" applyFill="1" applyBorder="1" applyAlignment="1">
      <alignment horizontal="center" vertical="center"/>
    </xf>
    <xf numFmtId="0" fontId="35" fillId="34" borderId="48" xfId="0" applyFont="1" applyFill="1" applyBorder="1" applyAlignment="1">
      <alignment horizontal="center" vertical="center"/>
    </xf>
    <xf numFmtId="4" fontId="26" fillId="32" borderId="61" xfId="0" applyNumberFormat="1" applyFont="1" applyFill="1" applyBorder="1" applyAlignment="1" applyProtection="1">
      <alignment horizontal="center" vertical="center"/>
      <protection hidden="1"/>
    </xf>
    <xf numFmtId="0" fontId="26" fillId="32" borderId="62" xfId="0" applyFont="1" applyFill="1" applyBorder="1" applyAlignment="1" applyProtection="1">
      <alignment horizontal="center" vertical="center"/>
      <protection hidden="1"/>
    </xf>
    <xf numFmtId="0" fontId="0" fillId="29" borderId="20" xfId="0" applyFill="1" applyBorder="1" applyAlignment="1">
      <alignment horizontal="center" vertical="center"/>
    </xf>
    <xf numFmtId="0" fontId="0" fillId="29" borderId="29" xfId="0" applyFill="1" applyBorder="1" applyAlignment="1">
      <alignment horizontal="center" vertical="center"/>
    </xf>
    <xf numFmtId="0" fontId="0" fillId="31" borderId="33" xfId="0" applyFill="1" applyBorder="1" applyAlignment="1">
      <alignment horizontal="center" vertical="center"/>
    </xf>
    <xf numFmtId="0" fontId="0" fillId="31" borderId="29" xfId="0" applyFill="1" applyBorder="1" applyAlignment="1">
      <alignment horizontal="center" vertical="center"/>
    </xf>
    <xf numFmtId="0" fontId="16" fillId="29" borderId="16" xfId="0" applyFont="1" applyFill="1" applyBorder="1" applyAlignment="1" applyProtection="1">
      <alignment horizontal="right" vertical="center"/>
      <protection hidden="1"/>
    </xf>
    <xf numFmtId="0" fontId="133" fillId="29" borderId="84" xfId="0" applyFont="1" applyFill="1" applyBorder="1" applyAlignment="1">
      <alignment horizontal="center" vertical="center"/>
    </xf>
    <xf numFmtId="0" fontId="133" fillId="29" borderId="85" xfId="0" applyFont="1" applyFill="1" applyBorder="1" applyAlignment="1">
      <alignment horizontal="center" vertical="center"/>
    </xf>
    <xf numFmtId="0" fontId="0" fillId="29" borderId="27" xfId="0" applyFill="1" applyBorder="1" applyAlignment="1">
      <alignment horizontal="center" vertical="center"/>
    </xf>
    <xf numFmtId="0" fontId="0" fillId="29" borderId="62" xfId="0" applyFill="1" applyBorder="1" applyAlignment="1">
      <alignment horizontal="center" vertical="center"/>
    </xf>
    <xf numFmtId="0" fontId="0" fillId="29" borderId="33" xfId="0" applyFill="1" applyBorder="1" applyAlignment="1" applyProtection="1">
      <alignment horizontal="left" vertical="center"/>
      <protection locked="0"/>
    </xf>
    <xf numFmtId="0" fontId="0" fillId="29" borderId="11" xfId="0" applyFill="1" applyBorder="1" applyAlignment="1" applyProtection="1">
      <alignment horizontal="left" vertical="center"/>
      <protection locked="0"/>
    </xf>
    <xf numFmtId="0" fontId="0" fillId="29" borderId="58" xfId="0" applyFill="1" applyBorder="1" applyAlignment="1" applyProtection="1">
      <alignment horizontal="left" vertical="center"/>
      <protection locked="0"/>
    </xf>
    <xf numFmtId="2" fontId="79" fillId="29" borderId="84" xfId="0" applyNumberFormat="1" applyFont="1" applyFill="1" applyBorder="1" applyAlignment="1">
      <alignment horizontal="left" vertical="center"/>
    </xf>
    <xf numFmtId="0" fontId="0" fillId="29" borderId="28" xfId="0" applyFill="1" applyBorder="1" applyAlignment="1">
      <alignment horizontal="left" vertical="center"/>
    </xf>
    <xf numFmtId="0" fontId="0" fillId="29" borderId="0" xfId="0" applyFill="1" applyAlignment="1">
      <alignment horizontal="left" vertical="center"/>
    </xf>
    <xf numFmtId="0" fontId="74" fillId="31" borderId="40" xfId="0" applyFont="1" applyFill="1" applyBorder="1" applyAlignment="1">
      <alignment horizontal="center" vertical="center"/>
    </xf>
    <xf numFmtId="0" fontId="74" fillId="31" borderId="10" xfId="0" applyFont="1" applyFill="1" applyBorder="1" applyAlignment="1">
      <alignment horizontal="center" vertical="center"/>
    </xf>
    <xf numFmtId="0" fontId="75" fillId="31" borderId="10" xfId="0" applyFont="1" applyFill="1" applyBorder="1" applyAlignment="1">
      <alignment horizontal="center" vertical="center"/>
    </xf>
    <xf numFmtId="14" fontId="76" fillId="29" borderId="20" xfId="0" applyNumberFormat="1" applyFont="1" applyFill="1" applyBorder="1" applyAlignment="1" applyProtection="1">
      <alignment horizontal="center" vertical="center"/>
      <protection locked="0"/>
    </xf>
    <xf numFmtId="14" fontId="76" fillId="29" borderId="58" xfId="0" applyNumberFormat="1" applyFont="1" applyFill="1" applyBorder="1" applyAlignment="1" applyProtection="1">
      <alignment horizontal="center" vertical="center"/>
      <protection locked="0"/>
    </xf>
    <xf numFmtId="0" fontId="0" fillId="29" borderId="20" xfId="0" applyFill="1" applyBorder="1" applyAlignment="1" applyProtection="1">
      <alignment horizontal="center" vertical="center" wrapText="1"/>
      <protection hidden="1"/>
    </xf>
    <xf numFmtId="0" fontId="0" fillId="29" borderId="11" xfId="0" applyFill="1" applyBorder="1" applyAlignment="1" applyProtection="1">
      <alignment horizontal="center" vertical="center" wrapText="1"/>
      <protection hidden="1"/>
    </xf>
    <xf numFmtId="0" fontId="0" fillId="29" borderId="58" xfId="0" applyFill="1" applyBorder="1" applyAlignment="1" applyProtection="1">
      <alignment horizontal="center" vertical="center" wrapText="1"/>
      <protection hidden="1"/>
    </xf>
    <xf numFmtId="0" fontId="62" fillId="31" borderId="33" xfId="0" applyFont="1" applyFill="1" applyBorder="1" applyAlignment="1">
      <alignment horizontal="center" vertical="center"/>
    </xf>
    <xf numFmtId="0" fontId="62" fillId="31" borderId="29" xfId="0" applyFont="1" applyFill="1" applyBorder="1" applyAlignment="1">
      <alignment horizontal="center" vertical="center"/>
    </xf>
    <xf numFmtId="0" fontId="26" fillId="29" borderId="20" xfId="0" applyFont="1" applyFill="1" applyBorder="1" applyAlignment="1">
      <alignment horizontal="center" vertical="center" wrapText="1"/>
    </xf>
    <xf numFmtId="0" fontId="26" fillId="29" borderId="11" xfId="0" applyFont="1" applyFill="1" applyBorder="1" applyAlignment="1">
      <alignment horizontal="center" vertical="center" wrapText="1"/>
    </xf>
    <xf numFmtId="0" fontId="26" fillId="29" borderId="29" xfId="0" applyFont="1" applyFill="1" applyBorder="1" applyAlignment="1">
      <alignment horizontal="center" vertical="center" wrapText="1"/>
    </xf>
    <xf numFmtId="0" fontId="0" fillId="29" borderId="20" xfId="0" applyFill="1" applyBorder="1" applyAlignment="1">
      <alignment horizontal="center" vertical="center" wrapText="1"/>
    </xf>
    <xf numFmtId="0" fontId="0" fillId="29" borderId="58" xfId="0" applyFill="1" applyBorder="1" applyAlignment="1">
      <alignment horizontal="center" vertical="center" wrapText="1"/>
    </xf>
    <xf numFmtId="0" fontId="0" fillId="29" borderId="83" xfId="0" applyFill="1" applyBorder="1" applyAlignment="1" applyProtection="1">
      <alignment horizontal="left" vertical="center" wrapText="1"/>
      <protection locked="0"/>
    </xf>
    <xf numFmtId="0" fontId="0" fillId="29" borderId="84" xfId="0" applyFill="1" applyBorder="1" applyAlignment="1" applyProtection="1">
      <alignment horizontal="left" vertical="center" wrapText="1"/>
      <protection locked="0"/>
    </xf>
    <xf numFmtId="0" fontId="0" fillId="29" borderId="85" xfId="0" applyFill="1" applyBorder="1" applyAlignment="1" applyProtection="1">
      <alignment horizontal="left" vertical="center" wrapText="1"/>
      <protection locked="0"/>
    </xf>
    <xf numFmtId="0" fontId="77" fillId="29" borderId="20" xfId="31" applyFont="1" applyFill="1" applyBorder="1" applyAlignment="1" applyProtection="1">
      <alignment horizontal="center" vertical="center" wrapText="1"/>
      <protection locked="0"/>
    </xf>
    <xf numFmtId="0" fontId="77" fillId="29" borderId="11" xfId="31" applyFont="1" applyFill="1" applyBorder="1" applyAlignment="1" applyProtection="1">
      <alignment horizontal="center" vertical="center" wrapText="1"/>
      <protection locked="0"/>
    </xf>
    <xf numFmtId="0" fontId="77" fillId="29" borderId="58" xfId="31" applyFont="1" applyFill="1" applyBorder="1" applyAlignment="1" applyProtection="1">
      <alignment horizontal="center" vertical="center" wrapText="1"/>
      <protection locked="0"/>
    </xf>
    <xf numFmtId="0" fontId="62" fillId="31" borderId="11" xfId="0" applyFont="1" applyFill="1" applyBorder="1" applyAlignment="1">
      <alignment horizontal="center" vertical="center"/>
    </xf>
    <xf numFmtId="0" fontId="78" fillId="29" borderId="33" xfId="0" applyFont="1" applyFill="1" applyBorder="1" applyAlignment="1">
      <alignment horizontal="center" vertical="center"/>
    </xf>
    <xf numFmtId="0" fontId="78" fillId="29" borderId="29" xfId="0" applyFont="1" applyFill="1" applyBorder="1" applyAlignment="1">
      <alignment horizontal="center" vertical="center"/>
    </xf>
    <xf numFmtId="0" fontId="0" fillId="29" borderId="11" xfId="0" applyFill="1" applyBorder="1" applyAlignment="1">
      <alignment horizontal="center" vertical="center"/>
    </xf>
    <xf numFmtId="0" fontId="35" fillId="29" borderId="33" xfId="0" applyFont="1" applyFill="1" applyBorder="1" applyAlignment="1" applyProtection="1">
      <alignment horizontal="left" vertical="center"/>
      <protection locked="0"/>
    </xf>
    <xf numFmtId="0" fontId="0" fillId="29" borderId="61" xfId="0" applyFill="1" applyBorder="1" applyAlignment="1" applyProtection="1">
      <alignment horizontal="left" vertical="center"/>
      <protection locked="0"/>
    </xf>
    <xf numFmtId="0" fontId="0" fillId="29" borderId="27" xfId="0" applyFill="1" applyBorder="1" applyAlignment="1" applyProtection="1">
      <alignment horizontal="left" vertical="center"/>
      <protection locked="0"/>
    </xf>
    <xf numFmtId="0" fontId="0" fillId="29" borderId="62" xfId="0" applyFill="1" applyBorder="1" applyAlignment="1" applyProtection="1">
      <alignment horizontal="left" vertical="center"/>
      <protection locked="0"/>
    </xf>
    <xf numFmtId="0" fontId="26" fillId="31" borderId="33" xfId="0" applyFont="1" applyFill="1" applyBorder="1" applyAlignment="1">
      <alignment horizontal="center" vertical="center"/>
    </xf>
    <xf numFmtId="0" fontId="26" fillId="31" borderId="11" xfId="0" applyFont="1" applyFill="1" applyBorder="1" applyAlignment="1">
      <alignment horizontal="center" vertical="center"/>
    </xf>
    <xf numFmtId="0" fontId="26" fillId="31" borderId="58" xfId="0" applyFont="1" applyFill="1" applyBorder="1" applyAlignment="1">
      <alignment horizontal="center" vertical="center"/>
    </xf>
    <xf numFmtId="0" fontId="35" fillId="31" borderId="33" xfId="0" applyFont="1" applyFill="1" applyBorder="1" applyAlignment="1">
      <alignment horizontal="center" vertical="center"/>
    </xf>
    <xf numFmtId="0" fontId="35" fillId="31" borderId="29" xfId="0" applyFont="1" applyFill="1" applyBorder="1" applyAlignment="1">
      <alignment horizontal="center" vertical="center"/>
    </xf>
    <xf numFmtId="164" fontId="35" fillId="29" borderId="20" xfId="32" applyFont="1" applyFill="1" applyBorder="1" applyAlignment="1" applyProtection="1">
      <alignment horizontal="center" vertical="center"/>
      <protection locked="0"/>
    </xf>
    <xf numFmtId="164" fontId="35" fillId="29" borderId="11" xfId="32" applyFont="1" applyFill="1" applyBorder="1" applyAlignment="1" applyProtection="1">
      <alignment horizontal="center" vertical="center"/>
      <protection locked="0"/>
    </xf>
    <xf numFmtId="164" fontId="35" fillId="29" borderId="58" xfId="32" applyFont="1" applyFill="1" applyBorder="1" applyAlignment="1" applyProtection="1">
      <alignment horizontal="center" vertical="center"/>
      <protection locked="0"/>
    </xf>
    <xf numFmtId="0" fontId="35" fillId="29" borderId="11" xfId="0" applyFont="1" applyFill="1" applyBorder="1" applyAlignment="1" applyProtection="1">
      <alignment horizontal="left" vertical="center"/>
      <protection locked="0"/>
    </xf>
    <xf numFmtId="0" fontId="35" fillId="29" borderId="58" xfId="0" applyFont="1" applyFill="1" applyBorder="1" applyAlignment="1" applyProtection="1">
      <alignment horizontal="left" vertical="center"/>
      <protection locked="0"/>
    </xf>
    <xf numFmtId="0" fontId="62" fillId="29" borderId="33" xfId="0" applyFont="1" applyFill="1" applyBorder="1" applyAlignment="1">
      <alignment horizontal="left" vertical="center"/>
    </xf>
    <xf numFmtId="0" fontId="62" fillId="29" borderId="11" xfId="0" applyFont="1" applyFill="1" applyBorder="1" applyAlignment="1">
      <alignment horizontal="left" vertical="center"/>
    </xf>
    <xf numFmtId="0" fontId="62" fillId="29" borderId="58" xfId="0" applyFont="1" applyFill="1" applyBorder="1" applyAlignment="1">
      <alignment horizontal="left" vertical="center"/>
    </xf>
    <xf numFmtId="0" fontId="0" fillId="29" borderId="33" xfId="0" applyFill="1" applyBorder="1" applyAlignment="1" applyProtection="1">
      <alignment horizontal="center" vertical="center"/>
      <protection locked="0"/>
    </xf>
    <xf numFmtId="0" fontId="0" fillId="29" borderId="11" xfId="0" applyFill="1" applyBorder="1" applyAlignment="1" applyProtection="1">
      <alignment horizontal="center" vertical="center"/>
      <protection locked="0"/>
    </xf>
    <xf numFmtId="0" fontId="0" fillId="29" borderId="29" xfId="0" applyFill="1" applyBorder="1" applyAlignment="1" applyProtection="1">
      <alignment horizontal="center" vertical="center"/>
      <protection locked="0"/>
    </xf>
    <xf numFmtId="0" fontId="79" fillId="31" borderId="20" xfId="0" applyFont="1" applyFill="1" applyBorder="1" applyAlignment="1">
      <alignment horizontal="center" vertical="center"/>
    </xf>
    <xf numFmtId="0" fontId="79" fillId="31" borderId="29" xfId="0" applyFont="1" applyFill="1" applyBorder="1" applyAlignment="1">
      <alignment horizontal="center" vertical="center"/>
    </xf>
    <xf numFmtId="0" fontId="75" fillId="31" borderId="33" xfId="0" applyFont="1" applyFill="1" applyBorder="1" applyAlignment="1">
      <alignment horizontal="center" vertical="center"/>
    </xf>
    <xf numFmtId="0" fontId="75" fillId="31" borderId="11" xfId="0" applyFont="1" applyFill="1" applyBorder="1" applyAlignment="1">
      <alignment horizontal="center" vertical="center"/>
    </xf>
    <xf numFmtId="0" fontId="75" fillId="31" borderId="58" xfId="0" applyFont="1" applyFill="1" applyBorder="1" applyAlignment="1">
      <alignment horizontal="center" vertical="center"/>
    </xf>
    <xf numFmtId="0" fontId="35" fillId="31" borderId="20" xfId="0" applyFont="1" applyFill="1" applyBorder="1" applyAlignment="1">
      <alignment horizontal="center" vertical="center"/>
    </xf>
    <xf numFmtId="0" fontId="0" fillId="29" borderId="20" xfId="0" applyFill="1" applyBorder="1" applyAlignment="1" applyProtection="1">
      <alignment horizontal="center" vertical="center"/>
      <protection locked="0"/>
    </xf>
    <xf numFmtId="0" fontId="62" fillId="29" borderId="10" xfId="0" applyFont="1" applyFill="1" applyBorder="1" applyAlignment="1" applyProtection="1">
      <alignment horizontal="center" vertical="center"/>
      <protection locked="0"/>
    </xf>
    <xf numFmtId="0" fontId="62" fillId="31" borderId="20" xfId="0" applyFont="1" applyFill="1" applyBorder="1" applyAlignment="1">
      <alignment horizontal="center" vertical="center"/>
    </xf>
    <xf numFmtId="0" fontId="78" fillId="31" borderId="33" xfId="0" applyFont="1" applyFill="1" applyBorder="1" applyAlignment="1">
      <alignment horizontal="center" vertical="center"/>
    </xf>
    <xf numFmtId="0" fontId="78" fillId="31" borderId="29" xfId="0" applyFont="1" applyFill="1" applyBorder="1" applyAlignment="1">
      <alignment horizontal="center" vertical="center"/>
    </xf>
    <xf numFmtId="0" fontId="35" fillId="31" borderId="12" xfId="0" applyFont="1" applyFill="1" applyBorder="1" applyAlignment="1" applyProtection="1">
      <alignment horizontal="center" vertical="center"/>
      <protection hidden="1"/>
    </xf>
    <xf numFmtId="0" fontId="35" fillId="31" borderId="13" xfId="0" applyFont="1" applyFill="1" applyBorder="1" applyAlignment="1" applyProtection="1">
      <alignment horizontal="center" vertical="center"/>
      <protection hidden="1"/>
    </xf>
    <xf numFmtId="0" fontId="35" fillId="31" borderId="14" xfId="0" applyFont="1" applyFill="1" applyBorder="1" applyAlignment="1" applyProtection="1">
      <alignment horizontal="center" vertical="center"/>
      <protection hidden="1"/>
    </xf>
    <xf numFmtId="0" fontId="0" fillId="29" borderId="28" xfId="0" applyFill="1" applyBorder="1" applyAlignment="1">
      <alignment horizontal="center" vertical="center"/>
    </xf>
    <xf numFmtId="0" fontId="79" fillId="31" borderId="86" xfId="0" applyFont="1" applyFill="1" applyBorder="1" applyAlignment="1">
      <alignment horizontal="center" vertical="center" wrapText="1"/>
    </xf>
    <xf numFmtId="0" fontId="79" fillId="31" borderId="84" xfId="0" applyFont="1" applyFill="1" applyBorder="1" applyAlignment="1">
      <alignment horizontal="center" vertical="center" wrapText="1"/>
    </xf>
    <xf numFmtId="0" fontId="79" fillId="31" borderId="85" xfId="0" applyFont="1" applyFill="1" applyBorder="1" applyAlignment="1">
      <alignment horizontal="center" vertical="center" wrapText="1"/>
    </xf>
    <xf numFmtId="0" fontId="62" fillId="29" borderId="33" xfId="0" applyFont="1" applyFill="1" applyBorder="1" applyAlignment="1" applyProtection="1">
      <alignment horizontal="center" vertical="center"/>
      <protection locked="0"/>
    </xf>
    <xf numFmtId="0" fontId="62" fillId="29" borderId="29" xfId="0" applyFont="1" applyFill="1" applyBorder="1" applyAlignment="1" applyProtection="1">
      <alignment horizontal="center" vertical="center"/>
      <protection locked="0"/>
    </xf>
    <xf numFmtId="164" fontId="35" fillId="29" borderId="10" xfId="32" applyFont="1" applyFill="1" applyBorder="1" applyAlignment="1" applyProtection="1">
      <alignment horizontal="center" vertical="center"/>
      <protection locked="0"/>
    </xf>
    <xf numFmtId="164" fontId="35" fillId="29" borderId="32" xfId="32" applyFont="1" applyFill="1" applyBorder="1" applyAlignment="1" applyProtection="1">
      <alignment horizontal="center" vertical="center"/>
      <protection locked="0"/>
    </xf>
    <xf numFmtId="14" fontId="0" fillId="29" borderId="20" xfId="0" applyNumberFormat="1" applyFill="1" applyBorder="1" applyAlignment="1" applyProtection="1">
      <alignment horizontal="center" vertical="center"/>
      <protection locked="0"/>
    </xf>
    <xf numFmtId="0" fontId="0" fillId="29" borderId="58" xfId="0" applyFill="1" applyBorder="1" applyAlignment="1" applyProtection="1">
      <alignment horizontal="center" vertical="center"/>
      <protection locked="0"/>
    </xf>
    <xf numFmtId="0" fontId="14" fillId="39" borderId="12" xfId="0" applyFont="1" applyFill="1" applyBorder="1" applyAlignment="1" applyProtection="1">
      <alignment horizontal="center" vertical="center"/>
      <protection hidden="1"/>
    </xf>
    <xf numFmtId="0" fontId="14" fillId="39" borderId="14" xfId="0" applyFont="1" applyFill="1" applyBorder="1" applyAlignment="1" applyProtection="1">
      <alignment horizontal="center" vertical="center"/>
      <protection hidden="1"/>
    </xf>
    <xf numFmtId="14" fontId="64" fillId="54" borderId="12" xfId="0" applyNumberFormat="1" applyFont="1" applyFill="1" applyBorder="1" applyAlignment="1" applyProtection="1">
      <alignment horizontal="center" vertical="center"/>
      <protection hidden="1"/>
    </xf>
    <xf numFmtId="0" fontId="64" fillId="54" borderId="14" xfId="0" applyFont="1" applyFill="1" applyBorder="1" applyAlignment="1" applyProtection="1">
      <alignment horizontal="center" vertical="center"/>
      <protection hidden="1"/>
    </xf>
    <xf numFmtId="0" fontId="11" fillId="0" borderId="16" xfId="0" applyFont="1" applyBorder="1" applyAlignment="1" applyProtection="1">
      <alignment horizontal="left" vertical="center"/>
      <protection locked="0" hidden="1"/>
    </xf>
    <xf numFmtId="0" fontId="50" fillId="0" borderId="16" xfId="0" applyFont="1" applyBorder="1" applyAlignment="1" applyProtection="1">
      <alignment horizontal="center" vertical="center"/>
      <protection locked="0" hidden="1"/>
    </xf>
    <xf numFmtId="4" fontId="13" fillId="0" borderId="13" xfId="0" applyNumberFormat="1" applyFont="1" applyBorder="1" applyAlignment="1" applyProtection="1">
      <alignment horizontal="left" vertical="center"/>
      <protection locked="0" hidden="1"/>
    </xf>
    <xf numFmtId="0" fontId="13" fillId="0" borderId="14" xfId="0" applyFont="1" applyBorder="1" applyAlignment="1" applyProtection="1">
      <alignment horizontal="left" vertical="center"/>
      <protection locked="0" hidden="1"/>
    </xf>
    <xf numFmtId="0" fontId="12" fillId="0" borderId="59" xfId="0" applyFont="1" applyBorder="1" applyAlignment="1" applyProtection="1">
      <alignment horizontal="center" vertical="center"/>
      <protection locked="0" hidden="1"/>
    </xf>
    <xf numFmtId="0" fontId="12" fillId="0" borderId="46" xfId="0" applyFont="1" applyBorder="1" applyAlignment="1" applyProtection="1">
      <alignment horizontal="center" vertical="center"/>
      <protection locked="0" hidden="1"/>
    </xf>
    <xf numFmtId="0" fontId="12" fillId="0" borderId="57" xfId="0" applyFont="1" applyBorder="1" applyAlignment="1" applyProtection="1">
      <alignment horizontal="center" vertical="center"/>
      <protection locked="0" hidden="1"/>
    </xf>
    <xf numFmtId="0" fontId="12" fillId="0" borderId="47" xfId="0" applyFont="1" applyBorder="1" applyAlignment="1" applyProtection="1">
      <alignment horizontal="center" vertical="center"/>
      <protection locked="0" hidden="1"/>
    </xf>
    <xf numFmtId="0" fontId="12" fillId="0" borderId="12" xfId="0" applyFont="1" applyBorder="1" applyAlignment="1" applyProtection="1">
      <alignment horizontal="center" vertical="center"/>
      <protection locked="0" hidden="1"/>
    </xf>
    <xf numFmtId="0" fontId="12" fillId="0" borderId="13" xfId="0" applyFont="1" applyBorder="1" applyAlignment="1" applyProtection="1">
      <alignment horizontal="center" vertical="center"/>
      <protection locked="0" hidden="1"/>
    </xf>
    <xf numFmtId="0" fontId="12" fillId="0" borderId="14" xfId="0" applyFont="1" applyBorder="1" applyAlignment="1" applyProtection="1">
      <alignment horizontal="center" vertical="center"/>
      <protection locked="0" hidden="1"/>
    </xf>
    <xf numFmtId="0" fontId="70" fillId="0" borderId="71" xfId="0" applyFont="1" applyBorder="1" applyAlignment="1" applyProtection="1">
      <alignment horizontal="center" vertical="center"/>
      <protection locked="0" hidden="1"/>
    </xf>
    <xf numFmtId="0" fontId="12" fillId="0" borderId="12" xfId="0" applyFont="1" applyBorder="1" applyAlignment="1" applyProtection="1">
      <alignment horizontal="right" vertical="center"/>
      <protection locked="0" hidden="1"/>
    </xf>
    <xf numFmtId="0" fontId="12" fillId="0" borderId="13" xfId="0" applyFont="1" applyBorder="1" applyAlignment="1" applyProtection="1">
      <alignment horizontal="right" vertical="center"/>
      <protection locked="0" hidden="1"/>
    </xf>
    <xf numFmtId="165" fontId="12" fillId="0" borderId="15" xfId="0" applyNumberFormat="1" applyFont="1" applyBorder="1" applyAlignment="1" applyProtection="1">
      <alignment horizontal="center" vertical="center"/>
      <protection locked="0"/>
    </xf>
    <xf numFmtId="165" fontId="12" fillId="0" borderId="60" xfId="0" applyNumberFormat="1" applyFont="1" applyBorder="1" applyAlignment="1" applyProtection="1">
      <alignment horizontal="center" vertical="center"/>
      <protection locked="0"/>
    </xf>
    <xf numFmtId="1" fontId="80" fillId="36" borderId="12" xfId="0" applyNumberFormat="1" applyFont="1" applyFill="1" applyBorder="1" applyAlignment="1" applyProtection="1">
      <alignment horizontal="center" vertical="center"/>
      <protection locked="0"/>
    </xf>
    <xf numFmtId="1" fontId="80" fillId="36" borderId="48" xfId="0" applyNumberFormat="1" applyFont="1" applyFill="1" applyBorder="1" applyAlignment="1" applyProtection="1">
      <alignment horizontal="center" vertical="center"/>
      <protection locked="0"/>
    </xf>
    <xf numFmtId="165" fontId="12" fillId="31" borderId="15" xfId="0" applyNumberFormat="1" applyFont="1" applyFill="1" applyBorder="1" applyAlignment="1" applyProtection="1">
      <alignment horizontal="center" vertical="center"/>
      <protection locked="0"/>
    </xf>
    <xf numFmtId="165" fontId="12" fillId="31" borderId="16" xfId="0" applyNumberFormat="1" applyFont="1" applyFill="1" applyBorder="1" applyAlignment="1" applyProtection="1">
      <alignment horizontal="center" vertical="center"/>
      <protection locked="0"/>
    </xf>
    <xf numFmtId="165" fontId="12" fillId="31" borderId="60" xfId="0" applyNumberFormat="1" applyFont="1" applyFill="1" applyBorder="1" applyAlignment="1" applyProtection="1">
      <alignment horizontal="center" vertical="center"/>
      <protection locked="0"/>
    </xf>
    <xf numFmtId="4" fontId="14" fillId="25" borderId="12" xfId="0" applyNumberFormat="1" applyFont="1" applyFill="1" applyBorder="1" applyAlignment="1" applyProtection="1">
      <alignment horizontal="center" vertical="center"/>
      <protection locked="0"/>
    </xf>
    <xf numFmtId="4" fontId="14" fillId="25" borderId="14" xfId="0" applyNumberFormat="1" applyFont="1" applyFill="1" applyBorder="1" applyAlignment="1" applyProtection="1">
      <alignment horizontal="center" vertical="center"/>
      <protection locked="0"/>
    </xf>
    <xf numFmtId="4" fontId="41" fillId="28" borderId="12" xfId="0" applyNumberFormat="1" applyFont="1" applyFill="1" applyBorder="1" applyAlignment="1" applyProtection="1">
      <alignment horizontal="center" vertical="center"/>
      <protection locked="0" hidden="1"/>
    </xf>
    <xf numFmtId="4" fontId="41" fillId="28" borderId="14" xfId="0" applyNumberFormat="1" applyFont="1" applyFill="1" applyBorder="1" applyAlignment="1" applyProtection="1">
      <alignment horizontal="center" vertical="center"/>
      <protection locked="0" hidden="1"/>
    </xf>
    <xf numFmtId="0" fontId="13" fillId="37" borderId="12" xfId="0" applyFont="1" applyFill="1" applyBorder="1" applyAlignment="1" applyProtection="1">
      <alignment horizontal="center" vertical="center"/>
      <protection hidden="1"/>
    </xf>
    <xf numFmtId="0" fontId="13" fillId="37" borderId="13" xfId="0" applyFont="1" applyFill="1" applyBorder="1" applyAlignment="1" applyProtection="1">
      <alignment horizontal="center" vertical="center"/>
      <protection hidden="1"/>
    </xf>
    <xf numFmtId="4" fontId="41" fillId="28" borderId="12" xfId="0" applyNumberFormat="1" applyFont="1" applyFill="1" applyBorder="1" applyAlignment="1" applyProtection="1">
      <alignment horizontal="center" vertical="center"/>
      <protection hidden="1"/>
    </xf>
    <xf numFmtId="4" fontId="41" fillId="28" borderId="14" xfId="0" applyNumberFormat="1" applyFont="1" applyFill="1" applyBorder="1" applyAlignment="1" applyProtection="1">
      <alignment horizontal="center" vertical="center"/>
      <protection hidden="1"/>
    </xf>
    <xf numFmtId="4" fontId="13" fillId="27" borderId="12" xfId="0" applyNumberFormat="1" applyFont="1" applyFill="1" applyBorder="1" applyAlignment="1" applyProtection="1">
      <alignment horizontal="center" vertical="center"/>
      <protection locked="0"/>
    </xf>
    <xf numFmtId="4" fontId="13" fillId="27" borderId="13" xfId="0" applyNumberFormat="1" applyFont="1" applyFill="1" applyBorder="1" applyAlignment="1" applyProtection="1">
      <alignment horizontal="center" vertical="center"/>
      <protection locked="0"/>
    </xf>
    <xf numFmtId="4" fontId="13" fillId="27" borderId="14" xfId="0" applyNumberFormat="1" applyFont="1" applyFill="1" applyBorder="1" applyAlignment="1" applyProtection="1">
      <alignment horizontal="center" vertical="center"/>
      <protection locked="0"/>
    </xf>
    <xf numFmtId="0" fontId="64" fillId="37" borderId="13" xfId="0" applyFont="1" applyFill="1" applyBorder="1" applyAlignment="1" applyProtection="1">
      <alignment horizontal="center" vertical="center"/>
      <protection hidden="1"/>
    </xf>
    <xf numFmtId="0" fontId="64" fillId="37" borderId="14" xfId="0" applyFont="1" applyFill="1" applyBorder="1" applyAlignment="1" applyProtection="1">
      <alignment horizontal="center" vertical="center"/>
      <protection hidden="1"/>
    </xf>
    <xf numFmtId="1" fontId="13" fillId="0" borderId="16" xfId="0" applyNumberFormat="1" applyFont="1" applyBorder="1" applyAlignment="1" applyProtection="1">
      <alignment horizontal="center" vertical="center"/>
      <protection locked="0"/>
    </xf>
    <xf numFmtId="0" fontId="36" fillId="32" borderId="12" xfId="0" applyFont="1" applyFill="1" applyBorder="1" applyAlignment="1" applyProtection="1">
      <alignment horizontal="center" vertical="center"/>
      <protection hidden="1"/>
    </xf>
    <xf numFmtId="0" fontId="36" fillId="32" borderId="13" xfId="0" applyFont="1" applyFill="1" applyBorder="1" applyAlignment="1" applyProtection="1">
      <alignment horizontal="center" vertical="center"/>
      <protection hidden="1"/>
    </xf>
    <xf numFmtId="0" fontId="36" fillId="32" borderId="14" xfId="0" applyFont="1" applyFill="1" applyBorder="1" applyAlignment="1" applyProtection="1">
      <alignment horizontal="center" vertical="center"/>
      <protection hidden="1"/>
    </xf>
    <xf numFmtId="2" fontId="13" fillId="37" borderId="12" xfId="0" applyNumberFormat="1" applyFont="1" applyFill="1" applyBorder="1" applyAlignment="1" applyProtection="1">
      <alignment horizontal="center" vertical="center"/>
      <protection hidden="1"/>
    </xf>
    <xf numFmtId="2" fontId="13" fillId="37" borderId="13" xfId="0" applyNumberFormat="1" applyFont="1" applyFill="1" applyBorder="1" applyAlignment="1" applyProtection="1">
      <alignment horizontal="center" vertical="center"/>
      <protection hidden="1"/>
    </xf>
    <xf numFmtId="2" fontId="13" fillId="37" borderId="14" xfId="0" applyNumberFormat="1" applyFont="1" applyFill="1" applyBorder="1" applyAlignment="1" applyProtection="1">
      <alignment horizontal="center" vertical="center"/>
      <protection hidden="1"/>
    </xf>
    <xf numFmtId="0" fontId="36" fillId="0" borderId="0" xfId="0" applyFont="1" applyAlignment="1" applyProtection="1">
      <alignment horizontal="right" vertical="center"/>
      <protection hidden="1"/>
    </xf>
    <xf numFmtId="165" fontId="12" fillId="29" borderId="15" xfId="0" applyNumberFormat="1" applyFont="1" applyFill="1" applyBorder="1" applyAlignment="1" applyProtection="1">
      <alignment horizontal="center" vertical="center"/>
      <protection locked="0"/>
    </xf>
    <xf numFmtId="165" fontId="12" fillId="29" borderId="16" xfId="0" applyNumberFormat="1" applyFont="1" applyFill="1" applyBorder="1" applyAlignment="1" applyProtection="1">
      <alignment horizontal="center" vertical="center"/>
      <protection locked="0"/>
    </xf>
    <xf numFmtId="165" fontId="12" fillId="29" borderId="60" xfId="0" applyNumberFormat="1" applyFont="1" applyFill="1" applyBorder="1" applyAlignment="1" applyProtection="1">
      <alignment horizontal="center" vertical="center"/>
      <protection locked="0"/>
    </xf>
    <xf numFmtId="0" fontId="12" fillId="40" borderId="15" xfId="0" applyFont="1" applyFill="1" applyBorder="1" applyAlignment="1" applyProtection="1">
      <alignment horizontal="center" vertical="center"/>
      <protection locked="0" hidden="1"/>
    </xf>
    <xf numFmtId="0" fontId="12" fillId="40" borderId="17" xfId="0" applyFont="1" applyFill="1" applyBorder="1" applyAlignment="1" applyProtection="1">
      <alignment horizontal="center" vertical="center"/>
      <protection locked="0" hidden="1"/>
    </xf>
    <xf numFmtId="4" fontId="12" fillId="40" borderId="15" xfId="0" applyNumberFormat="1" applyFont="1" applyFill="1" applyBorder="1" applyAlignment="1" applyProtection="1">
      <alignment horizontal="center" vertical="center"/>
      <protection hidden="1"/>
    </xf>
    <xf numFmtId="4" fontId="12" fillId="40" borderId="16" xfId="0" applyNumberFormat="1" applyFont="1" applyFill="1" applyBorder="1" applyAlignment="1" applyProtection="1">
      <alignment horizontal="center" vertical="center"/>
      <protection hidden="1"/>
    </xf>
    <xf numFmtId="4" fontId="12" fillId="40" borderId="17" xfId="0" applyNumberFormat="1" applyFont="1" applyFill="1" applyBorder="1" applyAlignment="1" applyProtection="1">
      <alignment horizontal="center" vertical="center"/>
      <protection hidden="1"/>
    </xf>
    <xf numFmtId="165" fontId="13" fillId="26" borderId="15" xfId="0" applyNumberFormat="1" applyFont="1" applyFill="1" applyBorder="1" applyAlignment="1" applyProtection="1">
      <alignment horizontal="center" vertical="center"/>
      <protection locked="0"/>
    </xf>
    <xf numFmtId="165" fontId="13" fillId="26" borderId="16" xfId="0" applyNumberFormat="1" applyFont="1" applyFill="1" applyBorder="1" applyAlignment="1" applyProtection="1">
      <alignment horizontal="center" vertical="center"/>
      <protection locked="0"/>
    </xf>
    <xf numFmtId="165" fontId="13" fillId="26" borderId="60" xfId="0" applyNumberFormat="1" applyFont="1" applyFill="1" applyBorder="1" applyAlignment="1" applyProtection="1">
      <alignment horizontal="center" vertical="center"/>
      <protection locked="0"/>
    </xf>
    <xf numFmtId="4" fontId="15" fillId="39" borderId="15" xfId="0" applyNumberFormat="1" applyFont="1" applyFill="1" applyBorder="1" applyAlignment="1" applyProtection="1">
      <alignment horizontal="center" vertical="center"/>
      <protection locked="0" hidden="1"/>
    </xf>
    <xf numFmtId="4" fontId="15" fillId="39" borderId="17" xfId="0" applyNumberFormat="1" applyFont="1" applyFill="1" applyBorder="1" applyAlignment="1" applyProtection="1">
      <alignment horizontal="center" vertical="center"/>
      <protection locked="0" hidden="1"/>
    </xf>
    <xf numFmtId="0" fontId="13" fillId="27" borderId="12" xfId="0" applyFont="1" applyFill="1" applyBorder="1" applyAlignment="1" applyProtection="1">
      <alignment horizontal="center" vertical="center"/>
      <protection locked="0"/>
    </xf>
    <xf numFmtId="0" fontId="13" fillId="27" borderId="13" xfId="0" applyFont="1" applyFill="1" applyBorder="1" applyAlignment="1" applyProtection="1">
      <alignment horizontal="center" vertical="center"/>
      <protection locked="0"/>
    </xf>
    <xf numFmtId="0" fontId="13" fillId="27" borderId="14" xfId="0" applyFont="1" applyFill="1" applyBorder="1" applyAlignment="1" applyProtection="1">
      <alignment horizontal="center" vertical="center"/>
      <protection locked="0"/>
    </xf>
    <xf numFmtId="2" fontId="14" fillId="29" borderId="15" xfId="0" applyNumberFormat="1" applyFont="1" applyFill="1" applyBorder="1" applyAlignment="1" applyProtection="1">
      <alignment horizontal="center" vertical="center"/>
      <protection locked="0"/>
    </xf>
    <xf numFmtId="2" fontId="14" fillId="29" borderId="16" xfId="0" applyNumberFormat="1" applyFont="1" applyFill="1" applyBorder="1" applyAlignment="1" applyProtection="1">
      <alignment horizontal="center" vertical="center"/>
      <protection locked="0"/>
    </xf>
    <xf numFmtId="2" fontId="14" fillId="29" borderId="17" xfId="0" applyNumberFormat="1" applyFont="1" applyFill="1" applyBorder="1" applyAlignment="1" applyProtection="1">
      <alignment horizontal="center" vertical="center"/>
      <protection locked="0"/>
    </xf>
    <xf numFmtId="2" fontId="12" fillId="37" borderId="12" xfId="0" applyNumberFormat="1" applyFont="1" applyFill="1" applyBorder="1" applyAlignment="1" applyProtection="1">
      <alignment horizontal="center" vertical="center"/>
      <protection hidden="1"/>
    </xf>
    <xf numFmtId="0" fontId="12" fillId="37" borderId="14" xfId="0" applyFont="1" applyFill="1" applyBorder="1" applyAlignment="1" applyProtection="1">
      <alignment horizontal="center" vertical="center"/>
      <protection hidden="1"/>
    </xf>
    <xf numFmtId="2" fontId="13" fillId="0" borderId="15" xfId="0" applyNumberFormat="1" applyFont="1" applyBorder="1" applyAlignment="1" applyProtection="1">
      <alignment horizontal="center" vertical="center"/>
      <protection locked="0"/>
    </xf>
    <xf numFmtId="2" fontId="13" fillId="0" borderId="16" xfId="0" applyNumberFormat="1" applyFont="1" applyBorder="1" applyAlignment="1" applyProtection="1">
      <alignment horizontal="center" vertical="center"/>
      <protection locked="0"/>
    </xf>
    <xf numFmtId="2" fontId="44" fillId="24" borderId="15" xfId="0" applyNumberFormat="1" applyFont="1" applyFill="1" applyBorder="1" applyAlignment="1" applyProtection="1">
      <alignment horizontal="center" vertical="center"/>
      <protection locked="0"/>
    </xf>
    <xf numFmtId="2" fontId="44" fillId="24" borderId="16" xfId="0" applyNumberFormat="1" applyFont="1" applyFill="1" applyBorder="1" applyAlignment="1" applyProtection="1">
      <alignment horizontal="center" vertical="center"/>
      <protection locked="0"/>
    </xf>
    <xf numFmtId="2" fontId="44" fillId="24" borderId="17" xfId="0" applyNumberFormat="1" applyFont="1" applyFill="1" applyBorder="1" applyAlignment="1" applyProtection="1">
      <alignment horizontal="center" vertical="center"/>
      <protection locked="0"/>
    </xf>
    <xf numFmtId="4" fontId="14" fillId="39" borderId="12" xfId="0" applyNumberFormat="1" applyFont="1" applyFill="1" applyBorder="1" applyAlignment="1" applyProtection="1">
      <alignment horizontal="center" vertical="center"/>
      <protection locked="0"/>
    </xf>
    <xf numFmtId="4" fontId="14" fillId="39" borderId="14" xfId="0" applyNumberFormat="1" applyFont="1" applyFill="1" applyBorder="1" applyAlignment="1" applyProtection="1">
      <alignment horizontal="center" vertical="center"/>
      <protection locked="0"/>
    </xf>
    <xf numFmtId="2" fontId="44" fillId="24" borderId="72" xfId="0" applyNumberFormat="1" applyFont="1" applyFill="1" applyBorder="1" applyAlignment="1" applyProtection="1">
      <alignment horizontal="center" vertical="center"/>
      <protection locked="0"/>
    </xf>
    <xf numFmtId="2" fontId="44" fillId="24" borderId="71" xfId="0" applyNumberFormat="1" applyFont="1" applyFill="1" applyBorder="1" applyAlignment="1" applyProtection="1">
      <alignment horizontal="center" vertical="center"/>
      <protection locked="0"/>
    </xf>
    <xf numFmtId="2" fontId="44" fillId="24" borderId="79" xfId="0" applyNumberFormat="1" applyFont="1" applyFill="1" applyBorder="1" applyAlignment="1" applyProtection="1">
      <alignment horizontal="center" vertical="center"/>
      <protection locked="0"/>
    </xf>
    <xf numFmtId="4" fontId="13" fillId="40" borderId="15" xfId="0" applyNumberFormat="1" applyFont="1" applyFill="1" applyBorder="1" applyAlignment="1" applyProtection="1">
      <alignment horizontal="center" vertical="center"/>
      <protection locked="0" hidden="1"/>
    </xf>
    <xf numFmtId="4" fontId="13" fillId="40" borderId="17" xfId="0" applyNumberFormat="1" applyFont="1" applyFill="1" applyBorder="1" applyAlignment="1" applyProtection="1">
      <alignment horizontal="center" vertical="center"/>
      <protection locked="0" hidden="1"/>
    </xf>
    <xf numFmtId="1" fontId="69" fillId="24" borderId="72" xfId="0" applyNumberFormat="1" applyFont="1" applyFill="1" applyBorder="1" applyAlignment="1" applyProtection="1">
      <alignment horizontal="center" vertical="center"/>
      <protection locked="0"/>
    </xf>
    <xf numFmtId="1" fontId="69" fillId="24" borderId="71" xfId="0" applyNumberFormat="1" applyFont="1" applyFill="1" applyBorder="1" applyAlignment="1" applyProtection="1">
      <alignment horizontal="center" vertical="center"/>
      <protection locked="0"/>
    </xf>
    <xf numFmtId="1" fontId="69" fillId="24" borderId="79" xfId="0" applyNumberFormat="1" applyFont="1" applyFill="1" applyBorder="1" applyAlignment="1" applyProtection="1">
      <alignment horizontal="center" vertical="center"/>
      <protection locked="0"/>
    </xf>
    <xf numFmtId="4" fontId="12" fillId="38" borderId="15" xfId="0" applyNumberFormat="1" applyFont="1" applyFill="1" applyBorder="1" applyAlignment="1" applyProtection="1">
      <alignment horizontal="center" vertical="center"/>
      <protection locked="0" hidden="1"/>
    </xf>
    <xf numFmtId="4" fontId="12" fillId="38" borderId="16" xfId="0" applyNumberFormat="1" applyFont="1" applyFill="1" applyBorder="1" applyAlignment="1" applyProtection="1">
      <alignment horizontal="center" vertical="center"/>
      <protection locked="0" hidden="1"/>
    </xf>
    <xf numFmtId="4" fontId="12" fillId="38" borderId="17" xfId="0" applyNumberFormat="1" applyFont="1" applyFill="1" applyBorder="1" applyAlignment="1" applyProtection="1">
      <alignment horizontal="center" vertical="center"/>
      <protection locked="0" hidden="1"/>
    </xf>
    <xf numFmtId="9" fontId="40" fillId="32" borderId="12" xfId="0" applyNumberFormat="1" applyFont="1" applyFill="1" applyBorder="1" applyAlignment="1" applyProtection="1">
      <alignment horizontal="center" vertical="center"/>
      <protection locked="0"/>
    </xf>
    <xf numFmtId="9" fontId="40" fillId="32" borderId="13" xfId="0" applyNumberFormat="1" applyFont="1" applyFill="1" applyBorder="1" applyAlignment="1" applyProtection="1">
      <alignment horizontal="center" vertical="center"/>
      <protection locked="0"/>
    </xf>
    <xf numFmtId="4" fontId="8" fillId="39" borderId="12" xfId="0" applyNumberFormat="1" applyFont="1" applyFill="1" applyBorder="1" applyAlignment="1" applyProtection="1">
      <alignment horizontal="center" vertical="center"/>
      <protection locked="0"/>
    </xf>
    <xf numFmtId="4" fontId="8" fillId="39" borderId="14" xfId="0" applyNumberFormat="1" applyFont="1" applyFill="1" applyBorder="1" applyAlignment="1" applyProtection="1">
      <alignment horizontal="center" vertical="center"/>
      <protection locked="0"/>
    </xf>
    <xf numFmtId="0" fontId="125" fillId="54" borderId="12" xfId="0" applyFont="1" applyFill="1" applyBorder="1" applyAlignment="1" applyProtection="1">
      <alignment horizontal="center" vertical="center"/>
      <protection hidden="1"/>
    </xf>
    <xf numFmtId="0" fontId="125" fillId="54" borderId="14" xfId="0" applyFont="1" applyFill="1" applyBorder="1" applyAlignment="1" applyProtection="1">
      <alignment horizontal="center" vertical="center"/>
      <protection hidden="1"/>
    </xf>
    <xf numFmtId="1" fontId="68" fillId="0" borderId="16" xfId="0" applyNumberFormat="1" applyFont="1" applyBorder="1" applyAlignment="1" applyProtection="1">
      <alignment horizontal="center" vertical="center"/>
      <protection locked="0" hidden="1"/>
    </xf>
    <xf numFmtId="1" fontId="68" fillId="0" borderId="17" xfId="0" applyNumberFormat="1" applyFont="1" applyBorder="1" applyAlignment="1" applyProtection="1">
      <alignment horizontal="center" vertical="center"/>
      <protection locked="0" hidden="1"/>
    </xf>
    <xf numFmtId="0" fontId="14" fillId="39" borderId="86" xfId="0" applyFont="1" applyFill="1" applyBorder="1" applyAlignment="1" applyProtection="1">
      <alignment horizontal="center" vertical="center"/>
      <protection hidden="1"/>
    </xf>
    <xf numFmtId="0" fontId="14" fillId="39" borderId="85" xfId="0" applyFont="1" applyFill="1" applyBorder="1" applyAlignment="1" applyProtection="1">
      <alignment horizontal="center" vertical="center"/>
      <protection hidden="1"/>
    </xf>
    <xf numFmtId="0" fontId="12" fillId="25" borderId="12" xfId="0" applyFont="1" applyFill="1" applyBorder="1" applyAlignment="1" applyProtection="1">
      <alignment horizontal="center" vertical="center"/>
      <protection locked="0"/>
    </xf>
    <xf numFmtId="0" fontId="12" fillId="25" borderId="13" xfId="0" applyFont="1" applyFill="1" applyBorder="1" applyAlignment="1" applyProtection="1">
      <alignment horizontal="center" vertical="center"/>
      <protection locked="0"/>
    </xf>
    <xf numFmtId="0" fontId="12" fillId="25" borderId="14" xfId="0" applyFont="1" applyFill="1" applyBorder="1" applyAlignment="1" applyProtection="1">
      <alignment horizontal="center" vertical="center"/>
      <protection locked="0"/>
    </xf>
    <xf numFmtId="0" fontId="8" fillId="27" borderId="72" xfId="0" applyFont="1" applyFill="1" applyBorder="1" applyAlignment="1" applyProtection="1">
      <alignment horizontal="center" vertical="center"/>
      <protection locked="0" hidden="1"/>
    </xf>
    <xf numFmtId="0" fontId="8" fillId="27" borderId="79" xfId="0" applyFont="1" applyFill="1" applyBorder="1" applyAlignment="1" applyProtection="1">
      <alignment horizontal="center" vertical="center"/>
      <protection locked="0" hidden="1"/>
    </xf>
    <xf numFmtId="2" fontId="65" fillId="0" borderId="12" xfId="0" applyNumberFormat="1" applyFont="1" applyBorder="1" applyAlignment="1" applyProtection="1">
      <alignment horizontal="center" vertical="center"/>
      <protection locked="0" hidden="1"/>
    </xf>
    <xf numFmtId="2" fontId="65" fillId="0" borderId="14" xfId="0" applyNumberFormat="1" applyFont="1" applyBorder="1" applyAlignment="1" applyProtection="1">
      <alignment horizontal="center" vertical="center"/>
      <protection locked="0" hidden="1"/>
    </xf>
    <xf numFmtId="2" fontId="122" fillId="27" borderId="28" xfId="30" applyNumberFormat="1" applyFont="1" applyFill="1" applyBorder="1" applyAlignment="1">
      <alignment horizontal="center" vertical="center"/>
      <protection locked="0"/>
    </xf>
    <xf numFmtId="0" fontId="126" fillId="27" borderId="0" xfId="0" applyFont="1" applyFill="1" applyAlignment="1" applyProtection="1">
      <alignment horizontal="center" vertical="center"/>
      <protection locked="0"/>
    </xf>
    <xf numFmtId="0" fontId="126" fillId="27" borderId="53" xfId="0" applyFont="1" applyFill="1" applyBorder="1" applyAlignment="1" applyProtection="1">
      <alignment horizontal="center" vertical="center"/>
      <protection locked="0"/>
    </xf>
    <xf numFmtId="175" fontId="12" fillId="27" borderId="72" xfId="0" applyNumberFormat="1" applyFont="1" applyFill="1" applyBorder="1" applyAlignment="1" applyProtection="1">
      <alignment horizontal="center" vertical="center"/>
      <protection locked="0"/>
    </xf>
    <xf numFmtId="175" fontId="12" fillId="27" borderId="71" xfId="0" applyNumberFormat="1" applyFont="1" applyFill="1" applyBorder="1" applyAlignment="1" applyProtection="1">
      <alignment horizontal="center" vertical="center"/>
      <protection locked="0"/>
    </xf>
    <xf numFmtId="175" fontId="12" fillId="27" borderId="79" xfId="0" applyNumberFormat="1" applyFont="1" applyFill="1" applyBorder="1" applyAlignment="1" applyProtection="1">
      <alignment horizontal="center" vertical="center"/>
      <protection locked="0"/>
    </xf>
    <xf numFmtId="0" fontId="12" fillId="39" borderId="12" xfId="0" applyFont="1" applyFill="1" applyBorder="1" applyAlignment="1" applyProtection="1">
      <alignment horizontal="center" vertical="center"/>
      <protection locked="0"/>
    </xf>
    <xf numFmtId="0" fontId="12" fillId="39" borderId="13" xfId="0" applyFont="1" applyFill="1" applyBorder="1" applyAlignment="1" applyProtection="1">
      <alignment horizontal="center" vertical="center"/>
      <protection locked="0"/>
    </xf>
    <xf numFmtId="0" fontId="12" fillId="39" borderId="14" xfId="0" applyFont="1" applyFill="1" applyBorder="1" applyAlignment="1" applyProtection="1">
      <alignment horizontal="center" vertical="center"/>
      <protection locked="0"/>
    </xf>
    <xf numFmtId="0" fontId="14" fillId="39" borderId="64" xfId="0" applyFont="1" applyFill="1" applyBorder="1" applyAlignment="1" applyProtection="1">
      <alignment horizontal="center" vertical="center"/>
      <protection hidden="1"/>
    </xf>
    <xf numFmtId="0" fontId="14" fillId="39" borderId="66" xfId="0" applyFont="1" applyFill="1" applyBorder="1" applyAlignment="1" applyProtection="1">
      <alignment horizontal="center" vertical="center"/>
      <protection hidden="1"/>
    </xf>
    <xf numFmtId="0" fontId="14" fillId="39" borderId="33" xfId="0" applyFont="1" applyFill="1" applyBorder="1" applyAlignment="1" applyProtection="1">
      <alignment horizontal="center" vertical="center"/>
      <protection hidden="1"/>
    </xf>
    <xf numFmtId="0" fontId="14" fillId="39" borderId="58" xfId="0" applyFont="1" applyFill="1" applyBorder="1" applyAlignment="1" applyProtection="1">
      <alignment horizontal="center" vertical="center"/>
      <protection hidden="1"/>
    </xf>
    <xf numFmtId="0" fontId="12" fillId="25" borderId="15" xfId="0" applyFont="1" applyFill="1" applyBorder="1" applyAlignment="1" applyProtection="1">
      <alignment horizontal="center" vertical="center"/>
      <protection locked="0"/>
    </xf>
    <xf numFmtId="0" fontId="12" fillId="25" borderId="16" xfId="0" applyFont="1" applyFill="1" applyBorder="1" applyAlignment="1" applyProtection="1">
      <alignment horizontal="center" vertical="center"/>
      <protection locked="0"/>
    </xf>
    <xf numFmtId="0" fontId="12" fillId="25" borderId="17" xfId="0" applyFont="1" applyFill="1" applyBorder="1" applyAlignment="1" applyProtection="1">
      <alignment horizontal="center" vertical="center"/>
      <protection locked="0"/>
    </xf>
    <xf numFmtId="0" fontId="81" fillId="54" borderId="12" xfId="0" applyFont="1" applyFill="1" applyBorder="1" applyAlignment="1" applyProtection="1">
      <alignment horizontal="center" vertical="center"/>
      <protection hidden="1"/>
    </xf>
    <xf numFmtId="0" fontId="81" fillId="54" borderId="13" xfId="0" applyFont="1" applyFill="1" applyBorder="1" applyAlignment="1" applyProtection="1">
      <alignment horizontal="center" vertical="center"/>
      <protection hidden="1"/>
    </xf>
    <xf numFmtId="0" fontId="81" fillId="54" borderId="14" xfId="0" applyFont="1" applyFill="1" applyBorder="1" applyAlignment="1" applyProtection="1">
      <alignment horizontal="center" vertical="center"/>
      <protection hidden="1"/>
    </xf>
    <xf numFmtId="0" fontId="50" fillId="29" borderId="20" xfId="0" applyFont="1" applyFill="1" applyBorder="1" applyAlignment="1">
      <alignment horizontal="center" vertical="center"/>
    </xf>
    <xf numFmtId="0" fontId="50" fillId="29" borderId="29" xfId="0" applyFont="1" applyFill="1" applyBorder="1" applyAlignment="1">
      <alignment horizontal="center" vertical="center"/>
    </xf>
    <xf numFmtId="0" fontId="50" fillId="29" borderId="20" xfId="0" applyFont="1" applyFill="1" applyBorder="1" applyAlignment="1" applyProtection="1">
      <alignment horizontal="center" vertical="center"/>
      <protection locked="0" hidden="1"/>
    </xf>
    <xf numFmtId="0" fontId="50" fillId="29" borderId="11" xfId="0" applyFont="1" applyFill="1" applyBorder="1" applyAlignment="1" applyProtection="1">
      <alignment horizontal="center" vertical="center"/>
      <protection locked="0" hidden="1"/>
    </xf>
    <xf numFmtId="0" fontId="50" fillId="29" borderId="29" xfId="0" applyFont="1" applyFill="1" applyBorder="1" applyAlignment="1" applyProtection="1">
      <alignment horizontal="center" vertical="center"/>
      <protection locked="0" hidden="1"/>
    </xf>
    <xf numFmtId="0" fontId="16" fillId="31" borderId="56" xfId="0" applyFont="1" applyFill="1" applyBorder="1" applyAlignment="1" applyProtection="1">
      <alignment horizontal="center" vertical="center"/>
      <protection hidden="1"/>
    </xf>
    <xf numFmtId="0" fontId="16" fillId="31" borderId="48" xfId="0" applyFont="1" applyFill="1" applyBorder="1" applyAlignment="1" applyProtection="1">
      <alignment horizontal="center" vertical="center"/>
      <protection hidden="1"/>
    </xf>
    <xf numFmtId="0" fontId="134" fillId="34" borderId="12" xfId="0" applyFont="1" applyFill="1" applyBorder="1" applyAlignment="1" applyProtection="1">
      <alignment horizontal="center" vertical="center"/>
      <protection hidden="1"/>
    </xf>
    <xf numFmtId="0" fontId="134" fillId="34" borderId="13" xfId="0" applyFont="1" applyFill="1" applyBorder="1" applyAlignment="1" applyProtection="1">
      <alignment horizontal="center" vertical="center"/>
      <protection hidden="1"/>
    </xf>
    <xf numFmtId="0" fontId="134" fillId="34" borderId="14" xfId="0" applyFont="1" applyFill="1" applyBorder="1" applyAlignment="1" applyProtection="1">
      <alignment horizontal="center" vertical="center"/>
      <protection hidden="1"/>
    </xf>
    <xf numFmtId="0" fontId="16" fillId="0" borderId="0" xfId="0" applyFont="1" applyAlignment="1" applyProtection="1">
      <alignment horizontal="right" vertical="center"/>
      <protection hidden="1"/>
    </xf>
    <xf numFmtId="0" fontId="35" fillId="34" borderId="10" xfId="0" applyFont="1" applyFill="1" applyBorder="1" applyAlignment="1">
      <alignment horizontal="center" vertical="center"/>
    </xf>
    <xf numFmtId="0" fontId="35" fillId="29" borderId="20" xfId="0" applyFont="1" applyFill="1" applyBorder="1" applyAlignment="1" applyProtection="1">
      <alignment horizontal="center" vertical="center"/>
      <protection hidden="1"/>
    </xf>
    <xf numFmtId="0" fontId="35" fillId="29" borderId="58" xfId="0" applyFont="1" applyFill="1" applyBorder="1" applyAlignment="1" applyProtection="1">
      <alignment horizontal="center" vertical="center"/>
      <protection hidden="1"/>
    </xf>
    <xf numFmtId="4" fontId="16" fillId="31" borderId="41" xfId="0" applyNumberFormat="1" applyFont="1" applyFill="1" applyBorder="1" applyAlignment="1" applyProtection="1">
      <alignment horizontal="center" vertical="center"/>
      <protection hidden="1"/>
    </xf>
    <xf numFmtId="0" fontId="16" fillId="31" borderId="36" xfId="0" applyFont="1" applyFill="1" applyBorder="1" applyAlignment="1" applyProtection="1">
      <alignment horizontal="center" vertical="center"/>
      <protection hidden="1"/>
    </xf>
    <xf numFmtId="0" fontId="50" fillId="0" borderId="0" xfId="0" applyFont="1" applyAlignment="1" applyProtection="1">
      <alignment horizontal="left" vertical="center"/>
      <protection hidden="1"/>
    </xf>
    <xf numFmtId="0" fontId="16" fillId="33" borderId="12" xfId="0" applyFont="1" applyFill="1" applyBorder="1" applyAlignment="1" applyProtection="1">
      <alignment horizontal="center" vertical="center"/>
      <protection hidden="1"/>
    </xf>
    <xf numFmtId="0" fontId="16" fillId="33" borderId="14" xfId="0" applyFont="1" applyFill="1" applyBorder="1" applyAlignment="1" applyProtection="1">
      <alignment horizontal="center" vertical="center"/>
      <protection hidden="1"/>
    </xf>
    <xf numFmtId="0" fontId="16" fillId="31" borderId="76" xfId="0" applyFont="1" applyFill="1" applyBorder="1" applyAlignment="1" applyProtection="1">
      <alignment horizontal="center" vertical="center"/>
      <protection hidden="1"/>
    </xf>
    <xf numFmtId="0" fontId="16" fillId="31" borderId="77" xfId="0" applyFont="1" applyFill="1" applyBorder="1" applyAlignment="1" applyProtection="1">
      <alignment horizontal="center" vertical="center"/>
      <protection hidden="1"/>
    </xf>
    <xf numFmtId="4" fontId="16" fillId="31" borderId="40" xfId="0" applyNumberFormat="1" applyFont="1" applyFill="1" applyBorder="1" applyAlignment="1" applyProtection="1">
      <alignment horizontal="center" vertical="center"/>
      <protection hidden="1"/>
    </xf>
    <xf numFmtId="0" fontId="16" fillId="31" borderId="10" xfId="0" applyFont="1" applyFill="1" applyBorder="1" applyAlignment="1" applyProtection="1">
      <alignment horizontal="center" vertical="center"/>
      <protection hidden="1"/>
    </xf>
    <xf numFmtId="4" fontId="16" fillId="31" borderId="42" xfId="0" applyNumberFormat="1" applyFont="1" applyFill="1" applyBorder="1" applyAlignment="1" applyProtection="1">
      <alignment horizontal="center" vertical="center"/>
      <protection hidden="1"/>
    </xf>
    <xf numFmtId="0" fontId="16" fillId="31" borderId="18" xfId="0" applyFont="1" applyFill="1" applyBorder="1" applyAlignment="1" applyProtection="1">
      <alignment horizontal="center" vertical="center"/>
      <protection hidden="1"/>
    </xf>
    <xf numFmtId="0" fontId="90" fillId="29" borderId="10" xfId="0" applyFont="1" applyFill="1" applyBorder="1" applyAlignment="1" applyProtection="1">
      <alignment horizontal="center" vertical="center"/>
      <protection hidden="1"/>
    </xf>
    <xf numFmtId="0" fontId="139" fillId="29" borderId="10" xfId="0" applyFont="1" applyFill="1" applyBorder="1" applyAlignment="1" applyProtection="1">
      <alignment horizontal="center" vertical="center"/>
      <protection locked="0"/>
    </xf>
    <xf numFmtId="0" fontId="139" fillId="29" borderId="32" xfId="0" applyFont="1" applyFill="1" applyBorder="1" applyAlignment="1" applyProtection="1">
      <alignment horizontal="center" vertical="center"/>
      <protection locked="0"/>
    </xf>
    <xf numFmtId="0" fontId="90" fillId="29" borderId="36" xfId="0" applyFont="1" applyFill="1" applyBorder="1" applyAlignment="1" applyProtection="1">
      <alignment horizontal="center" vertical="center"/>
      <protection hidden="1"/>
    </xf>
    <xf numFmtId="0" fontId="139" fillId="29" borderId="36" xfId="0" applyFont="1" applyFill="1" applyBorder="1" applyAlignment="1" applyProtection="1">
      <alignment horizontal="center" vertical="center"/>
      <protection locked="0"/>
    </xf>
    <xf numFmtId="0" fontId="139" fillId="29" borderId="37" xfId="0" applyFont="1" applyFill="1" applyBorder="1" applyAlignment="1" applyProtection="1">
      <alignment horizontal="center" vertical="center"/>
      <protection locked="0"/>
    </xf>
    <xf numFmtId="0" fontId="90" fillId="29" borderId="35" xfId="0" applyFont="1" applyFill="1" applyBorder="1" applyAlignment="1" applyProtection="1">
      <alignment horizontal="center" vertical="center"/>
      <protection hidden="1"/>
    </xf>
    <xf numFmtId="0" fontId="139" fillId="29" borderId="35" xfId="0" applyFont="1" applyFill="1" applyBorder="1" applyAlignment="1" applyProtection="1">
      <alignment horizontal="center" vertical="center"/>
      <protection locked="0"/>
    </xf>
    <xf numFmtId="0" fontId="139" fillId="29" borderId="49" xfId="0" applyFont="1" applyFill="1" applyBorder="1" applyAlignment="1" applyProtection="1">
      <alignment horizontal="center" vertical="center"/>
      <protection locked="0"/>
    </xf>
    <xf numFmtId="0" fontId="139" fillId="29" borderId="76" xfId="0" applyFont="1" applyFill="1" applyBorder="1" applyAlignment="1" applyProtection="1">
      <alignment horizontal="center" vertical="center"/>
      <protection locked="0"/>
    </xf>
    <xf numFmtId="0" fontId="139" fillId="29" borderId="77" xfId="0" applyFont="1" applyFill="1" applyBorder="1" applyAlignment="1" applyProtection="1">
      <alignment horizontal="center" vertical="center"/>
      <protection locked="0"/>
    </xf>
    <xf numFmtId="0" fontId="139" fillId="29" borderId="79" xfId="0" applyFont="1" applyFill="1" applyBorder="1" applyAlignment="1" applyProtection="1">
      <alignment horizontal="center" vertical="center"/>
      <protection locked="0"/>
    </xf>
    <xf numFmtId="0" fontId="35" fillId="34" borderId="15" xfId="0" applyFont="1" applyFill="1" applyBorder="1" applyAlignment="1">
      <alignment horizontal="center" vertical="center"/>
    </xf>
    <xf numFmtId="0" fontId="35" fillId="34" borderId="16" xfId="0" applyFont="1" applyFill="1" applyBorder="1" applyAlignment="1">
      <alignment horizontal="center" vertical="center"/>
    </xf>
    <xf numFmtId="0" fontId="35" fillId="34" borderId="17" xfId="0" applyFont="1" applyFill="1" applyBorder="1" applyAlignment="1">
      <alignment horizontal="center" vertical="center"/>
    </xf>
    <xf numFmtId="0" fontId="139" fillId="29" borderId="19" xfId="0" applyFont="1" applyFill="1" applyBorder="1" applyAlignment="1" applyProtection="1">
      <alignment horizontal="center" vertical="center"/>
      <protection locked="0"/>
    </xf>
    <xf numFmtId="0" fontId="139" fillId="29" borderId="22" xfId="0" applyFont="1" applyFill="1" applyBorder="1" applyAlignment="1" applyProtection="1">
      <alignment horizontal="center" vertical="center"/>
      <protection locked="0"/>
    </xf>
    <xf numFmtId="0" fontId="139" fillId="29" borderId="62" xfId="0" applyFont="1" applyFill="1" applyBorder="1" applyAlignment="1" applyProtection="1">
      <alignment horizontal="center" vertical="center"/>
      <protection locked="0"/>
    </xf>
    <xf numFmtId="0" fontId="139" fillId="29" borderId="38" xfId="0" applyFont="1" applyFill="1" applyBorder="1" applyAlignment="1" applyProtection="1">
      <alignment horizontal="center" vertical="center"/>
      <protection locked="0"/>
    </xf>
    <xf numFmtId="0" fontId="139" fillId="29" borderId="70" xfId="0" applyFont="1" applyFill="1" applyBorder="1" applyAlignment="1" applyProtection="1">
      <alignment horizontal="center" vertical="center"/>
      <protection locked="0"/>
    </xf>
    <xf numFmtId="0" fontId="139" fillId="29" borderId="66" xfId="0" applyFont="1" applyFill="1" applyBorder="1" applyAlignment="1" applyProtection="1">
      <alignment horizontal="center" vertical="center"/>
      <protection locked="0"/>
    </xf>
    <xf numFmtId="0" fontId="16" fillId="29" borderId="33" xfId="0" applyFont="1" applyFill="1" applyBorder="1" applyAlignment="1" applyProtection="1">
      <alignment horizontal="center" vertical="center"/>
      <protection locked="0"/>
    </xf>
    <xf numFmtId="0" fontId="16" fillId="29" borderId="11" xfId="0" applyFont="1" applyFill="1" applyBorder="1" applyAlignment="1" applyProtection="1">
      <alignment horizontal="center" vertical="center"/>
      <protection locked="0"/>
    </xf>
    <xf numFmtId="0" fontId="16" fillId="29" borderId="58" xfId="0" applyFont="1" applyFill="1" applyBorder="1" applyAlignment="1" applyProtection="1">
      <alignment horizontal="center" vertical="center"/>
      <protection locked="0"/>
    </xf>
    <xf numFmtId="0" fontId="50" fillId="31" borderId="33" xfId="0" applyFont="1" applyFill="1" applyBorder="1" applyAlignment="1">
      <alignment horizontal="center" vertical="center"/>
    </xf>
    <xf numFmtId="0" fontId="50" fillId="31" borderId="58" xfId="0" applyFont="1" applyFill="1" applyBorder="1" applyAlignment="1">
      <alignment horizontal="center" vertical="center"/>
    </xf>
    <xf numFmtId="4" fontId="26" fillId="29" borderId="33" xfId="0" applyNumberFormat="1" applyFont="1" applyFill="1" applyBorder="1" applyAlignment="1">
      <alignment horizontal="center" vertical="center"/>
    </xf>
    <xf numFmtId="4" fontId="26" fillId="29" borderId="58" xfId="0" applyNumberFormat="1" applyFont="1" applyFill="1" applyBorder="1" applyAlignment="1">
      <alignment horizontal="center" vertical="center"/>
    </xf>
    <xf numFmtId="0" fontId="50" fillId="31" borderId="86" xfId="0" applyFont="1" applyFill="1" applyBorder="1" applyAlignment="1">
      <alignment horizontal="center" vertical="center"/>
    </xf>
    <xf numFmtId="4" fontId="26" fillId="29" borderId="68" xfId="0" applyNumberFormat="1" applyFont="1" applyFill="1" applyBorder="1" applyAlignment="1">
      <alignment horizontal="center" vertical="center"/>
    </xf>
    <xf numFmtId="4" fontId="26" fillId="29" borderId="63" xfId="0" applyNumberFormat="1" applyFont="1" applyFill="1" applyBorder="1" applyAlignment="1">
      <alignment horizontal="center" vertical="center"/>
    </xf>
    <xf numFmtId="4" fontId="16" fillId="29" borderId="68" xfId="0" applyNumberFormat="1" applyFont="1" applyFill="1" applyBorder="1" applyAlignment="1" applyProtection="1">
      <alignment horizontal="center" vertical="center"/>
      <protection locked="0"/>
    </xf>
    <xf numFmtId="4" fontId="16" fillId="29" borderId="67" xfId="0" applyNumberFormat="1" applyFont="1" applyFill="1" applyBorder="1" applyAlignment="1" applyProtection="1">
      <alignment horizontal="center" vertical="center"/>
      <protection locked="0"/>
    </xf>
    <xf numFmtId="4" fontId="73" fillId="31" borderId="68" xfId="0" applyNumberFormat="1" applyFont="1" applyFill="1" applyBorder="1" applyAlignment="1">
      <alignment horizontal="center" vertical="center"/>
    </xf>
    <xf numFmtId="0" fontId="73" fillId="31" borderId="67" xfId="0" applyFont="1" applyFill="1" applyBorder="1" applyAlignment="1">
      <alignment horizontal="center" vertical="center"/>
    </xf>
    <xf numFmtId="0" fontId="73" fillId="31" borderId="63" xfId="0" applyFont="1" applyFill="1" applyBorder="1" applyAlignment="1">
      <alignment horizontal="center" vertical="center"/>
    </xf>
    <xf numFmtId="0" fontId="50" fillId="29" borderId="38" xfId="0" applyFont="1" applyFill="1" applyBorder="1" applyAlignment="1" applyProtection="1">
      <alignment horizontal="center" vertical="center"/>
      <protection locked="0"/>
    </xf>
    <xf numFmtId="0" fontId="50" fillId="29" borderId="65" xfId="0" applyFont="1" applyFill="1" applyBorder="1" applyAlignment="1" applyProtection="1">
      <alignment horizontal="center" vertical="center"/>
      <protection locked="0"/>
    </xf>
    <xf numFmtId="0" fontId="50" fillId="29" borderId="66" xfId="0" applyFont="1" applyFill="1" applyBorder="1" applyAlignment="1" applyProtection="1">
      <alignment horizontal="center" vertical="center"/>
      <protection locked="0"/>
    </xf>
    <xf numFmtId="4" fontId="26" fillId="29" borderId="61" xfId="0" applyNumberFormat="1" applyFont="1" applyFill="1" applyBorder="1" applyAlignment="1">
      <alignment horizontal="center" vertical="center"/>
    </xf>
    <xf numFmtId="0" fontId="26" fillId="29" borderId="62" xfId="0" applyFont="1" applyFill="1" applyBorder="1" applyAlignment="1">
      <alignment horizontal="center" vertical="center"/>
    </xf>
    <xf numFmtId="0" fontId="50" fillId="29" borderId="18" xfId="0" applyFont="1" applyFill="1" applyBorder="1" applyAlignment="1" applyProtection="1">
      <alignment horizontal="center" vertical="center"/>
      <protection locked="0"/>
    </xf>
    <xf numFmtId="4" fontId="87" fillId="29" borderId="81" xfId="0" applyNumberFormat="1" applyFont="1" applyFill="1" applyBorder="1" applyAlignment="1" applyProtection="1">
      <alignment horizontal="center" vertical="center"/>
      <protection locked="0"/>
    </xf>
    <xf numFmtId="0" fontId="87" fillId="29" borderId="81" xfId="0" applyFont="1" applyFill="1" applyBorder="1" applyAlignment="1" applyProtection="1">
      <alignment horizontal="center" vertical="center"/>
      <protection locked="0"/>
    </xf>
    <xf numFmtId="0" fontId="87" fillId="29" borderId="82" xfId="0" applyFont="1" applyFill="1" applyBorder="1" applyAlignment="1" applyProtection="1">
      <alignment horizontal="center" vertical="center"/>
      <protection locked="0"/>
    </xf>
    <xf numFmtId="0" fontId="16" fillId="31" borderId="64" xfId="0" applyFont="1" applyFill="1" applyBorder="1" applyAlignment="1" applyProtection="1">
      <alignment horizontal="center" vertical="center"/>
      <protection locked="0"/>
    </xf>
    <xf numFmtId="0" fontId="16" fillId="31" borderId="70" xfId="0" applyFont="1" applyFill="1" applyBorder="1" applyAlignment="1" applyProtection="1">
      <alignment horizontal="center" vertical="center"/>
      <protection locked="0"/>
    </xf>
    <xf numFmtId="4" fontId="50" fillId="31" borderId="38" xfId="0" applyNumberFormat="1" applyFont="1" applyFill="1" applyBorder="1" applyAlignment="1">
      <alignment horizontal="center" vertical="center"/>
    </xf>
    <xf numFmtId="0" fontId="50" fillId="31" borderId="66" xfId="0" applyFont="1" applyFill="1" applyBorder="1" applyAlignment="1">
      <alignment horizontal="center" vertical="center"/>
    </xf>
    <xf numFmtId="4" fontId="87" fillId="29" borderId="10" xfId="0" applyNumberFormat="1" applyFont="1" applyFill="1" applyBorder="1" applyAlignment="1" applyProtection="1">
      <alignment horizontal="center" vertical="center"/>
      <protection locked="0"/>
    </xf>
    <xf numFmtId="0" fontId="87" fillId="29" borderId="10" xfId="0" applyFont="1" applyFill="1" applyBorder="1" applyAlignment="1" applyProtection="1">
      <alignment horizontal="center" vertical="center"/>
      <protection locked="0"/>
    </xf>
    <xf numFmtId="0" fontId="87" fillId="29" borderId="32" xfId="0" applyFont="1" applyFill="1" applyBorder="1" applyAlignment="1" applyProtection="1">
      <alignment horizontal="center" vertical="center"/>
      <protection locked="0"/>
    </xf>
    <xf numFmtId="0" fontId="50" fillId="29" borderId="72" xfId="0" applyFont="1" applyFill="1" applyBorder="1" applyAlignment="1" applyProtection="1">
      <alignment horizontal="center" vertical="center"/>
      <protection locked="0"/>
    </xf>
    <xf numFmtId="0" fontId="50" fillId="29" borderId="71" xfId="0" applyFont="1" applyFill="1" applyBorder="1" applyAlignment="1" applyProtection="1">
      <alignment horizontal="center" vertical="center"/>
      <protection locked="0"/>
    </xf>
    <xf numFmtId="0" fontId="50" fillId="29" borderId="79" xfId="0" applyFont="1" applyFill="1" applyBorder="1" applyAlignment="1" applyProtection="1">
      <alignment horizontal="center" vertical="center"/>
      <protection locked="0"/>
    </xf>
    <xf numFmtId="0" fontId="35" fillId="34" borderId="64" xfId="0" applyFont="1" applyFill="1" applyBorder="1" applyAlignment="1">
      <alignment horizontal="center" vertical="center"/>
    </xf>
    <xf numFmtId="0" fontId="35" fillId="34" borderId="65" xfId="0" applyFont="1" applyFill="1" applyBorder="1" applyAlignment="1">
      <alignment horizontal="center" vertical="center"/>
    </xf>
    <xf numFmtId="0" fontId="35" fillId="34" borderId="66" xfId="0" applyFont="1" applyFill="1" applyBorder="1" applyAlignment="1">
      <alignment horizontal="center" vertical="center"/>
    </xf>
    <xf numFmtId="0" fontId="16" fillId="34" borderId="30" xfId="0" applyFont="1" applyFill="1" applyBorder="1" applyAlignment="1">
      <alignment horizontal="center" vertical="center"/>
    </xf>
    <xf numFmtId="0" fontId="16" fillId="34" borderId="56" xfId="0" applyFont="1" applyFill="1" applyBorder="1" applyAlignment="1">
      <alignment horizontal="center" vertical="center"/>
    </xf>
    <xf numFmtId="0" fontId="16" fillId="34" borderId="14" xfId="0" applyFont="1" applyFill="1" applyBorder="1" applyAlignment="1">
      <alignment horizontal="center" vertical="center"/>
    </xf>
    <xf numFmtId="4" fontId="87" fillId="29" borderId="18" xfId="0" applyNumberFormat="1" applyFont="1" applyFill="1" applyBorder="1" applyAlignment="1" applyProtection="1">
      <alignment horizontal="center" vertical="center"/>
      <protection locked="0"/>
    </xf>
    <xf numFmtId="0" fontId="87" fillId="29" borderId="18" xfId="0" applyFont="1" applyFill="1" applyBorder="1" applyAlignment="1" applyProtection="1">
      <alignment horizontal="center" vertical="center"/>
      <protection locked="0"/>
    </xf>
    <xf numFmtId="0" fontId="87" fillId="29" borderId="54" xfId="0" applyFont="1" applyFill="1" applyBorder="1" applyAlignment="1" applyProtection="1">
      <alignment horizontal="center" vertical="center"/>
      <protection locked="0"/>
    </xf>
    <xf numFmtId="0" fontId="50" fillId="29" borderId="61" xfId="0" applyFont="1" applyFill="1" applyBorder="1" applyAlignment="1" applyProtection="1">
      <alignment horizontal="center" vertical="center"/>
      <protection locked="0"/>
    </xf>
    <xf numFmtId="0" fontId="50" fillId="29" borderId="27" xfId="0" applyFont="1" applyFill="1" applyBorder="1" applyAlignment="1" applyProtection="1">
      <alignment horizontal="center" vertical="center"/>
      <protection locked="0"/>
    </xf>
    <xf numFmtId="0" fontId="50" fillId="29" borderId="62" xfId="0" applyFont="1" applyFill="1" applyBorder="1" applyAlignment="1" applyProtection="1">
      <alignment horizontal="center" vertical="center"/>
      <protection locked="0"/>
    </xf>
    <xf numFmtId="0" fontId="50" fillId="29" borderId="29" xfId="0" applyFont="1" applyFill="1" applyBorder="1" applyAlignment="1" applyProtection="1">
      <alignment horizontal="center" vertical="center"/>
      <protection locked="0"/>
    </xf>
    <xf numFmtId="0" fontId="50" fillId="29" borderId="20" xfId="0" applyFont="1" applyFill="1" applyBorder="1" applyAlignment="1" applyProtection="1">
      <alignment horizontal="center" vertical="center"/>
      <protection locked="0"/>
    </xf>
    <xf numFmtId="0" fontId="57" fillId="29" borderId="20" xfId="30" applyFill="1" applyBorder="1" applyAlignment="1" applyProtection="1">
      <alignment horizontal="center" vertical="center"/>
      <protection locked="0"/>
    </xf>
    <xf numFmtId="0" fontId="57" fillId="29" borderId="11" xfId="30" applyFill="1" applyBorder="1" applyAlignment="1" applyProtection="1">
      <alignment horizontal="center" vertical="center"/>
      <protection locked="0"/>
    </xf>
    <xf numFmtId="0" fontId="57" fillId="29" borderId="58" xfId="30" applyFill="1" applyBorder="1" applyAlignment="1" applyProtection="1">
      <alignment horizontal="center" vertical="center"/>
      <protection locked="0"/>
    </xf>
    <xf numFmtId="0" fontId="50" fillId="34" borderId="33" xfId="0" applyFont="1" applyFill="1" applyBorder="1" applyAlignment="1" applyProtection="1">
      <alignment horizontal="center" vertical="center"/>
      <protection hidden="1"/>
    </xf>
    <xf numFmtId="0" fontId="40" fillId="29" borderId="33" xfId="0" applyFont="1" applyFill="1" applyBorder="1" applyAlignment="1" applyProtection="1">
      <alignment horizontal="center" vertical="center"/>
      <protection locked="0"/>
    </xf>
    <xf numFmtId="0" fontId="40" fillId="29" borderId="11" xfId="0" applyFont="1" applyFill="1" applyBorder="1" applyAlignment="1" applyProtection="1">
      <alignment horizontal="center" vertical="center"/>
      <protection locked="0"/>
    </xf>
    <xf numFmtId="0" fontId="40" fillId="29" borderId="58" xfId="0" applyFont="1" applyFill="1" applyBorder="1" applyAlignment="1" applyProtection="1">
      <alignment horizontal="center" vertical="center"/>
      <protection locked="0"/>
    </xf>
    <xf numFmtId="4" fontId="35" fillId="0" borderId="68" xfId="0" applyNumberFormat="1" applyFont="1" applyBorder="1" applyAlignment="1" applyProtection="1">
      <alignment horizontal="center" vertical="center"/>
      <protection hidden="1"/>
    </xf>
    <xf numFmtId="0" fontId="40" fillId="29" borderId="20" xfId="0" applyFont="1" applyFill="1" applyBorder="1" applyAlignment="1" applyProtection="1">
      <alignment horizontal="center" vertical="center"/>
      <protection locked="0" hidden="1"/>
    </xf>
    <xf numFmtId="0" fontId="40" fillId="29" borderId="11" xfId="0" applyFont="1" applyFill="1" applyBorder="1" applyAlignment="1" applyProtection="1">
      <alignment horizontal="center" vertical="center"/>
      <protection locked="0" hidden="1"/>
    </xf>
    <xf numFmtId="0" fontId="40" fillId="29" borderId="29" xfId="0" applyFont="1" applyFill="1" applyBorder="1" applyAlignment="1" applyProtection="1">
      <alignment horizontal="center" vertical="center"/>
      <protection locked="0" hidden="1"/>
    </xf>
    <xf numFmtId="0" fontId="16" fillId="29" borderId="19" xfId="0" applyFont="1" applyFill="1" applyBorder="1" applyAlignment="1" applyProtection="1">
      <alignment horizontal="center" vertical="center"/>
      <protection locked="0" hidden="1"/>
    </xf>
    <xf numFmtId="0" fontId="16" fillId="29" borderId="62" xfId="0" applyFont="1" applyFill="1" applyBorder="1" applyAlignment="1" applyProtection="1">
      <alignment horizontal="center" vertical="center"/>
      <protection locked="0" hidden="1"/>
    </xf>
    <xf numFmtId="0" fontId="40" fillId="29" borderId="12" xfId="0" applyFont="1" applyFill="1" applyBorder="1" applyAlignment="1" applyProtection="1">
      <alignment horizontal="center" vertical="center"/>
      <protection hidden="1"/>
    </xf>
    <xf numFmtId="0" fontId="40" fillId="29" borderId="13" xfId="0" applyFont="1" applyFill="1" applyBorder="1" applyAlignment="1" applyProtection="1">
      <alignment horizontal="center" vertical="center"/>
      <protection hidden="1"/>
    </xf>
    <xf numFmtId="0" fontId="40" fillId="29" borderId="14" xfId="0" applyFont="1" applyFill="1" applyBorder="1" applyAlignment="1" applyProtection="1">
      <alignment horizontal="center" vertical="center"/>
      <protection hidden="1"/>
    </xf>
    <xf numFmtId="0" fontId="16" fillId="29" borderId="12" xfId="0" applyFont="1" applyFill="1" applyBorder="1" applyAlignment="1" applyProtection="1">
      <alignment horizontal="center" vertical="center"/>
      <protection locked="0"/>
    </xf>
    <xf numFmtId="0" fontId="16" fillId="29" borderId="13" xfId="0" applyFont="1" applyFill="1" applyBorder="1" applyAlignment="1" applyProtection="1">
      <alignment horizontal="center" vertical="center"/>
      <protection locked="0"/>
    </xf>
    <xf numFmtId="0" fontId="16" fillId="29" borderId="14" xfId="0" applyFont="1" applyFill="1" applyBorder="1" applyAlignment="1" applyProtection="1">
      <alignment horizontal="center" vertical="center"/>
      <protection locked="0"/>
    </xf>
    <xf numFmtId="0" fontId="16" fillId="0" borderId="28" xfId="0" applyFont="1" applyBorder="1" applyAlignment="1" applyProtection="1">
      <alignment horizontal="center" vertical="center"/>
      <protection hidden="1"/>
    </xf>
    <xf numFmtId="0" fontId="16" fillId="0" borderId="0" xfId="0" applyFont="1" applyAlignment="1" applyProtection="1">
      <alignment horizontal="center" vertical="center"/>
      <protection hidden="1"/>
    </xf>
    <xf numFmtId="14" fontId="45" fillId="0" borderId="28" xfId="0" applyNumberFormat="1" applyFont="1" applyBorder="1" applyAlignment="1" applyProtection="1">
      <alignment horizontal="center" vertical="center"/>
      <protection locked="0"/>
    </xf>
    <xf numFmtId="14" fontId="45" fillId="0" borderId="28" xfId="0" applyNumberFormat="1" applyFont="1" applyBorder="1" applyAlignment="1" applyProtection="1">
      <alignment horizontal="center" vertical="center"/>
      <protection hidden="1"/>
    </xf>
    <xf numFmtId="0" fontId="45" fillId="0" borderId="53" xfId="0" applyFont="1" applyBorder="1" applyAlignment="1" applyProtection="1">
      <alignment horizontal="center" vertical="center"/>
      <protection hidden="1"/>
    </xf>
    <xf numFmtId="0" fontId="50" fillId="0" borderId="64" xfId="0" applyFont="1" applyBorder="1" applyAlignment="1" applyProtection="1">
      <alignment horizontal="center" vertical="center"/>
      <protection hidden="1"/>
    </xf>
    <xf numFmtId="0" fontId="50" fillId="0" borderId="65" xfId="0" applyFont="1" applyBorder="1" applyAlignment="1" applyProtection="1">
      <alignment horizontal="center" vertical="center"/>
      <protection hidden="1"/>
    </xf>
    <xf numFmtId="0" fontId="50" fillId="0" borderId="66" xfId="0" applyFont="1" applyBorder="1" applyAlignment="1" applyProtection="1">
      <alignment horizontal="center" vertical="center"/>
      <protection hidden="1"/>
    </xf>
    <xf numFmtId="0" fontId="50" fillId="29" borderId="20" xfId="0" applyFont="1" applyFill="1" applyBorder="1" applyAlignment="1" applyProtection="1">
      <alignment horizontal="center" vertical="center"/>
      <protection hidden="1"/>
    </xf>
    <xf numFmtId="0" fontId="50" fillId="29" borderId="11" xfId="0" applyFont="1" applyFill="1" applyBorder="1" applyAlignment="1" applyProtection="1">
      <alignment horizontal="center" vertical="center"/>
      <protection hidden="1"/>
    </xf>
    <xf numFmtId="0" fontId="50" fillId="29" borderId="29" xfId="0" applyFont="1" applyFill="1" applyBorder="1" applyAlignment="1" applyProtection="1">
      <alignment horizontal="center" vertical="center"/>
      <protection hidden="1"/>
    </xf>
    <xf numFmtId="0" fontId="90" fillId="34" borderId="33" xfId="0" applyFont="1" applyFill="1" applyBorder="1" applyAlignment="1">
      <alignment horizontal="center" vertical="center"/>
    </xf>
    <xf numFmtId="0" fontId="90" fillId="34" borderId="29" xfId="0" applyFont="1" applyFill="1" applyBorder="1" applyAlignment="1">
      <alignment horizontal="center" vertical="center"/>
    </xf>
    <xf numFmtId="0" fontId="40" fillId="29" borderId="20" xfId="0" applyFont="1" applyFill="1" applyBorder="1" applyAlignment="1" applyProtection="1">
      <alignment horizontal="center" vertical="center"/>
      <protection hidden="1"/>
    </xf>
    <xf numFmtId="0" fontId="40" fillId="29" borderId="11" xfId="0" applyFont="1" applyFill="1" applyBorder="1" applyAlignment="1" applyProtection="1">
      <alignment horizontal="center" vertical="center"/>
      <protection hidden="1"/>
    </xf>
    <xf numFmtId="0" fontId="40" fillId="29" borderId="29" xfId="0" applyFont="1" applyFill="1" applyBorder="1" applyAlignment="1" applyProtection="1">
      <alignment horizontal="center" vertical="center"/>
      <protection hidden="1"/>
    </xf>
    <xf numFmtId="0" fontId="139" fillId="0" borderId="38" xfId="0" applyFont="1" applyBorder="1" applyAlignment="1" applyProtection="1">
      <alignment horizontal="center" vertical="center"/>
      <protection hidden="1"/>
    </xf>
    <xf numFmtId="0" fontId="139" fillId="0" borderId="65" xfId="0" applyFont="1" applyBorder="1" applyAlignment="1" applyProtection="1">
      <alignment horizontal="center" vertical="center"/>
      <protection hidden="1"/>
    </xf>
    <xf numFmtId="0" fontId="139" fillId="0" borderId="66" xfId="0" applyFont="1" applyBorder="1" applyAlignment="1" applyProtection="1">
      <alignment horizontal="center" vertical="center"/>
      <protection hidden="1"/>
    </xf>
    <xf numFmtId="0" fontId="139" fillId="29" borderId="38" xfId="0" applyFont="1" applyFill="1" applyBorder="1" applyAlignment="1" applyProtection="1">
      <alignment horizontal="center" vertical="center"/>
      <protection hidden="1"/>
    </xf>
    <xf numFmtId="0" fontId="139" fillId="29" borderId="70" xfId="0" applyFont="1" applyFill="1" applyBorder="1" applyAlignment="1" applyProtection="1">
      <alignment horizontal="center" vertical="center"/>
      <protection hidden="1"/>
    </xf>
    <xf numFmtId="0" fontId="50" fillId="29" borderId="38" xfId="0" applyFont="1" applyFill="1" applyBorder="1" applyAlignment="1" applyProtection="1">
      <alignment horizontal="center" vertical="center"/>
      <protection hidden="1"/>
    </xf>
    <xf numFmtId="0" fontId="50" fillId="29" borderId="70" xfId="0" applyFont="1" applyFill="1" applyBorder="1" applyAlignment="1" applyProtection="1">
      <alignment horizontal="center" vertical="center"/>
      <protection hidden="1"/>
    </xf>
    <xf numFmtId="0" fontId="45" fillId="29" borderId="86" xfId="32" applyNumberFormat="1" applyFont="1" applyFill="1" applyBorder="1" applyAlignment="1" applyProtection="1">
      <alignment horizontal="justify" vertical="center" wrapText="1"/>
      <protection hidden="1"/>
    </xf>
    <xf numFmtId="0" fontId="45" fillId="29" borderId="84" xfId="32" applyNumberFormat="1" applyFont="1" applyFill="1" applyBorder="1" applyAlignment="1" applyProtection="1">
      <alignment horizontal="justify" vertical="center"/>
      <protection hidden="1"/>
    </xf>
    <xf numFmtId="0" fontId="45" fillId="29" borderId="85" xfId="32" applyNumberFormat="1" applyFont="1" applyFill="1" applyBorder="1" applyAlignment="1" applyProtection="1">
      <alignment horizontal="justify" vertical="center"/>
      <protection hidden="1"/>
    </xf>
    <xf numFmtId="0" fontId="45" fillId="29" borderId="28" xfId="32" applyNumberFormat="1" applyFont="1" applyFill="1" applyBorder="1" applyAlignment="1" applyProtection="1">
      <alignment horizontal="justify" vertical="center"/>
      <protection hidden="1"/>
    </xf>
    <xf numFmtId="0" fontId="45" fillId="29" borderId="0" xfId="32" applyNumberFormat="1" applyFont="1" applyFill="1" applyBorder="1" applyAlignment="1" applyProtection="1">
      <alignment horizontal="justify" vertical="center"/>
      <protection hidden="1"/>
    </xf>
    <xf numFmtId="0" fontId="45" fillId="29" borderId="53" xfId="32" applyNumberFormat="1" applyFont="1" applyFill="1" applyBorder="1" applyAlignment="1" applyProtection="1">
      <alignment horizontal="justify" vertical="center"/>
      <protection hidden="1"/>
    </xf>
    <xf numFmtId="0" fontId="45" fillId="29" borderId="72" xfId="32" applyNumberFormat="1" applyFont="1" applyFill="1" applyBorder="1" applyAlignment="1" applyProtection="1">
      <alignment horizontal="justify" vertical="center"/>
      <protection hidden="1"/>
    </xf>
    <xf numFmtId="0" fontId="45" fillId="29" borderId="71" xfId="32" applyNumberFormat="1" applyFont="1" applyFill="1" applyBorder="1" applyAlignment="1" applyProtection="1">
      <alignment horizontal="justify" vertical="center"/>
      <protection hidden="1"/>
    </xf>
    <xf numFmtId="0" fontId="45" fillId="29" borderId="79" xfId="32" applyNumberFormat="1" applyFont="1" applyFill="1" applyBorder="1" applyAlignment="1" applyProtection="1">
      <alignment horizontal="justify" vertical="center"/>
      <protection hidden="1"/>
    </xf>
    <xf numFmtId="0" fontId="45" fillId="0" borderId="28" xfId="0" applyFont="1" applyBorder="1" applyAlignment="1" applyProtection="1">
      <alignment horizontal="center" vertical="center"/>
      <protection hidden="1"/>
    </xf>
    <xf numFmtId="0" fontId="45" fillId="0" borderId="0" xfId="0" applyFont="1" applyAlignment="1" applyProtection="1">
      <alignment horizontal="center" vertical="center"/>
      <protection hidden="1"/>
    </xf>
    <xf numFmtId="0" fontId="0" fillId="0" borderId="61" xfId="0" applyBorder="1" applyAlignment="1" applyProtection="1">
      <alignment horizontal="center" vertical="center"/>
      <protection hidden="1"/>
    </xf>
    <xf numFmtId="0" fontId="0" fillId="0" borderId="27" xfId="0" applyBorder="1" applyAlignment="1" applyProtection="1">
      <alignment horizontal="center" vertical="center"/>
      <protection hidden="1"/>
    </xf>
    <xf numFmtId="0" fontId="0" fillId="0" borderId="65" xfId="0" applyBorder="1" applyAlignment="1" applyProtection="1">
      <alignment horizontal="center" vertical="center"/>
      <protection hidden="1"/>
    </xf>
    <xf numFmtId="0" fontId="0" fillId="0" borderId="66" xfId="0" applyBorder="1" applyAlignment="1" applyProtection="1">
      <alignment horizontal="center" vertical="center"/>
      <protection hidden="1"/>
    </xf>
    <xf numFmtId="0" fontId="45" fillId="0" borderId="86" xfId="0" applyFont="1" applyBorder="1" applyAlignment="1" applyProtection="1">
      <alignment horizontal="justify" vertical="center" wrapText="1"/>
      <protection hidden="1"/>
    </xf>
    <xf numFmtId="0" fontId="45" fillId="0" borderId="84" xfId="0" applyFont="1" applyBorder="1" applyAlignment="1" applyProtection="1">
      <alignment horizontal="justify" vertical="center"/>
      <protection hidden="1"/>
    </xf>
    <xf numFmtId="0" fontId="45" fillId="0" borderId="85" xfId="0" applyFont="1" applyBorder="1" applyAlignment="1" applyProtection="1">
      <alignment horizontal="justify" vertical="center"/>
      <protection hidden="1"/>
    </xf>
    <xf numFmtId="0" fontId="45" fillId="0" borderId="28" xfId="0" applyFont="1" applyBorder="1" applyAlignment="1" applyProtection="1">
      <alignment horizontal="justify" vertical="center"/>
      <protection hidden="1"/>
    </xf>
    <xf numFmtId="0" fontId="45" fillId="0" borderId="0" xfId="0" applyFont="1" applyAlignment="1" applyProtection="1">
      <alignment horizontal="justify" vertical="center"/>
      <protection hidden="1"/>
    </xf>
    <xf numFmtId="0" fontId="45" fillId="0" borderId="53" xfId="0" applyFont="1" applyBorder="1" applyAlignment="1" applyProtection="1">
      <alignment horizontal="justify" vertical="center"/>
      <protection hidden="1"/>
    </xf>
    <xf numFmtId="0" fontId="45" fillId="0" borderId="72" xfId="0" applyFont="1" applyBorder="1" applyAlignment="1" applyProtection="1">
      <alignment horizontal="justify" vertical="center"/>
      <protection hidden="1"/>
    </xf>
    <xf numFmtId="0" fontId="45" fillId="0" borderId="71" xfId="0" applyFont="1" applyBorder="1" applyAlignment="1" applyProtection="1">
      <alignment horizontal="justify" vertical="center"/>
      <protection hidden="1"/>
    </xf>
    <xf numFmtId="0" fontId="45" fillId="0" borderId="79" xfId="0" applyFont="1" applyBorder="1" applyAlignment="1" applyProtection="1">
      <alignment horizontal="justify" vertical="center"/>
      <protection hidden="1"/>
    </xf>
    <xf numFmtId="0" fontId="50" fillId="0" borderId="0" xfId="0" applyFont="1" applyAlignment="1" applyProtection="1">
      <alignment vertical="center"/>
      <protection hidden="1"/>
    </xf>
    <xf numFmtId="168" fontId="35" fillId="0" borderId="28" xfId="48" applyNumberFormat="1" applyFont="1" applyBorder="1" applyAlignment="1" applyProtection="1">
      <alignment horizontal="center" vertical="center"/>
      <protection hidden="1"/>
    </xf>
    <xf numFmtId="168" fontId="35" fillId="0" borderId="0" xfId="48" applyNumberFormat="1" applyFont="1" applyBorder="1" applyAlignment="1" applyProtection="1">
      <alignment horizontal="center" vertical="center"/>
      <protection hidden="1"/>
    </xf>
    <xf numFmtId="0" fontId="45" fillId="0" borderId="28" xfId="0" applyFont="1" applyBorder="1" applyAlignment="1" applyProtection="1">
      <alignment horizontal="justify" vertical="center" wrapText="1"/>
      <protection hidden="1"/>
    </xf>
    <xf numFmtId="0" fontId="35" fillId="0" borderId="16" xfId="0" applyFont="1" applyBorder="1" applyAlignment="1" applyProtection="1">
      <alignment horizontal="center" vertical="center"/>
      <protection hidden="1"/>
    </xf>
    <xf numFmtId="0" fontId="16" fillId="0" borderId="71" xfId="0" applyFont="1" applyBorder="1" applyAlignment="1" applyProtection="1">
      <alignment horizontal="center" vertical="center"/>
      <protection hidden="1"/>
    </xf>
    <xf numFmtId="0" fontId="16" fillId="0" borderId="79" xfId="0" applyFont="1" applyBorder="1" applyAlignment="1" applyProtection="1">
      <alignment horizontal="center" vertical="center"/>
      <protection hidden="1"/>
    </xf>
    <xf numFmtId="0" fontId="139" fillId="29" borderId="35" xfId="0" applyFont="1" applyFill="1" applyBorder="1" applyAlignment="1" applyProtection="1">
      <alignment horizontal="center" vertical="center"/>
      <protection hidden="1"/>
    </xf>
    <xf numFmtId="0" fontId="139" fillId="29" borderId="49" xfId="0" applyFont="1" applyFill="1" applyBorder="1" applyAlignment="1" applyProtection="1">
      <alignment horizontal="center" vertical="center"/>
      <protection hidden="1"/>
    </xf>
    <xf numFmtId="14" fontId="50" fillId="0" borderId="0" xfId="0" applyNumberFormat="1" applyFont="1" applyAlignment="1" applyProtection="1">
      <alignment horizontal="center" vertical="center"/>
      <protection hidden="1"/>
    </xf>
    <xf numFmtId="0" fontId="50" fillId="0" borderId="53" xfId="0" applyFont="1" applyBorder="1" applyAlignment="1" applyProtection="1">
      <alignment horizontal="center" vertical="center"/>
      <protection hidden="1"/>
    </xf>
    <xf numFmtId="4" fontId="42" fillId="29" borderId="35" xfId="0" applyNumberFormat="1" applyFont="1" applyFill="1" applyBorder="1" applyAlignment="1" applyProtection="1">
      <alignment horizontal="center" vertical="center"/>
      <protection hidden="1"/>
    </xf>
    <xf numFmtId="0" fontId="42" fillId="29" borderId="49" xfId="0" applyFont="1" applyFill="1" applyBorder="1" applyAlignment="1" applyProtection="1">
      <alignment horizontal="center" vertical="center"/>
      <protection hidden="1"/>
    </xf>
    <xf numFmtId="0" fontId="50" fillId="34" borderId="13" xfId="0" applyFont="1" applyFill="1" applyBorder="1" applyAlignment="1" applyProtection="1">
      <alignment horizontal="center" vertical="center"/>
      <protection hidden="1"/>
    </xf>
    <xf numFmtId="0" fontId="16" fillId="0" borderId="68" xfId="0" applyFont="1" applyBorder="1" applyAlignment="1" applyProtection="1">
      <alignment horizontal="center" vertical="center"/>
      <protection hidden="1"/>
    </xf>
    <xf numFmtId="0" fontId="16" fillId="0" borderId="55" xfId="0" applyFont="1" applyBorder="1" applyAlignment="1" applyProtection="1">
      <alignment horizontal="center" vertical="center"/>
      <protection hidden="1"/>
    </xf>
    <xf numFmtId="2" fontId="35" fillId="0" borderId="55" xfId="0" applyNumberFormat="1" applyFont="1" applyBorder="1" applyAlignment="1" applyProtection="1">
      <alignment horizontal="center" vertical="center"/>
      <protection hidden="1"/>
    </xf>
    <xf numFmtId="0" fontId="35" fillId="0" borderId="55" xfId="0" applyFont="1" applyBorder="1" applyAlignment="1" applyProtection="1">
      <alignment horizontal="center" vertical="center"/>
      <protection hidden="1"/>
    </xf>
    <xf numFmtId="0" fontId="35" fillId="0" borderId="63" xfId="0" applyFont="1" applyBorder="1" applyAlignment="1" applyProtection="1">
      <alignment horizontal="center" vertical="center"/>
      <protection hidden="1"/>
    </xf>
    <xf numFmtId="4" fontId="42" fillId="29" borderId="18" xfId="0" applyNumberFormat="1" applyFont="1" applyFill="1" applyBorder="1" applyAlignment="1" applyProtection="1">
      <alignment horizontal="center" vertical="center"/>
      <protection hidden="1"/>
    </xf>
    <xf numFmtId="0" fontId="42" fillId="29" borderId="54" xfId="0" applyFont="1" applyFill="1" applyBorder="1" applyAlignment="1" applyProtection="1">
      <alignment horizontal="center" vertical="center"/>
      <protection hidden="1"/>
    </xf>
    <xf numFmtId="0" fontId="45" fillId="34" borderId="12" xfId="0" applyFont="1" applyFill="1" applyBorder="1" applyAlignment="1" applyProtection="1">
      <alignment horizontal="center" vertical="center"/>
      <protection hidden="1"/>
    </xf>
    <xf numFmtId="0" fontId="45" fillId="34" borderId="14" xfId="0" applyFont="1" applyFill="1" applyBorder="1" applyAlignment="1" applyProtection="1">
      <alignment horizontal="center" vertical="center"/>
      <protection hidden="1"/>
    </xf>
    <xf numFmtId="0" fontId="26" fillId="34" borderId="14" xfId="0" applyFont="1" applyFill="1" applyBorder="1" applyAlignment="1" applyProtection="1">
      <alignment horizontal="center" vertical="center"/>
      <protection hidden="1"/>
    </xf>
    <xf numFmtId="0" fontId="35" fillId="0" borderId="17" xfId="0" applyFont="1" applyBorder="1" applyAlignment="1" applyProtection="1">
      <alignment horizontal="center" vertical="center"/>
      <protection hidden="1"/>
    </xf>
    <xf numFmtId="3" fontId="38" fillId="0" borderId="28" xfId="0" applyNumberFormat="1" applyFont="1" applyBorder="1" applyAlignment="1" applyProtection="1">
      <alignment horizontal="center" vertical="center"/>
      <protection hidden="1"/>
    </xf>
    <xf numFmtId="3" fontId="38" fillId="0" borderId="0" xfId="0" applyNumberFormat="1" applyFont="1" applyAlignment="1" applyProtection="1">
      <alignment horizontal="center" vertical="center"/>
      <protection hidden="1"/>
    </xf>
    <xf numFmtId="3" fontId="38" fillId="0" borderId="53" xfId="0" applyNumberFormat="1" applyFont="1" applyBorder="1" applyAlignment="1" applyProtection="1">
      <alignment horizontal="center" vertical="center"/>
      <protection hidden="1"/>
    </xf>
    <xf numFmtId="0" fontId="35" fillId="34" borderId="33" xfId="0" applyFont="1" applyFill="1" applyBorder="1" applyAlignment="1" applyProtection="1">
      <alignment horizontal="center" vertical="center"/>
      <protection hidden="1"/>
    </xf>
    <xf numFmtId="0" fontId="35" fillId="0" borderId="64" xfId="0" applyFont="1" applyBorder="1" applyAlignment="1" applyProtection="1">
      <alignment horizontal="center" vertical="center"/>
      <protection hidden="1"/>
    </xf>
    <xf numFmtId="0" fontId="35" fillId="29" borderId="33" xfId="0" applyFont="1" applyFill="1" applyBorder="1" applyAlignment="1" applyProtection="1">
      <alignment horizontal="center" vertical="center"/>
      <protection hidden="1"/>
    </xf>
    <xf numFmtId="14" fontId="50" fillId="0" borderId="33" xfId="0" applyNumberFormat="1" applyFont="1" applyBorder="1" applyAlignment="1" applyProtection="1">
      <alignment horizontal="center" vertical="center"/>
      <protection hidden="1"/>
    </xf>
    <xf numFmtId="14" fontId="50" fillId="0" borderId="58" xfId="0" applyNumberFormat="1" applyFont="1" applyBorder="1" applyAlignment="1" applyProtection="1">
      <alignment horizontal="center" vertical="center"/>
      <protection hidden="1"/>
    </xf>
    <xf numFmtId="4" fontId="50" fillId="29" borderId="35" xfId="0" applyNumberFormat="1" applyFont="1" applyFill="1" applyBorder="1" applyAlignment="1" applyProtection="1">
      <alignment horizontal="center" vertical="center"/>
      <protection hidden="1"/>
    </xf>
    <xf numFmtId="0" fontId="50" fillId="29" borderId="49" xfId="0" applyFont="1" applyFill="1" applyBorder="1" applyAlignment="1" applyProtection="1">
      <alignment horizontal="center" vertical="center"/>
      <protection hidden="1"/>
    </xf>
    <xf numFmtId="4" fontId="87" fillId="29" borderId="23" xfId="0" applyNumberFormat="1" applyFont="1" applyFill="1" applyBorder="1" applyAlignment="1" applyProtection="1">
      <alignment horizontal="center" vertical="center"/>
      <protection hidden="1"/>
    </xf>
    <xf numFmtId="0" fontId="87" fillId="29" borderId="24" xfId="0" applyFont="1" applyFill="1" applyBorder="1" applyAlignment="1" applyProtection="1">
      <alignment horizontal="center" vertical="center"/>
      <protection hidden="1"/>
    </xf>
    <xf numFmtId="0" fontId="87" fillId="29" borderId="49" xfId="0" applyFont="1" applyFill="1" applyBorder="1" applyAlignment="1" applyProtection="1">
      <alignment horizontal="center" vertical="center"/>
      <protection locked="0"/>
    </xf>
    <xf numFmtId="0" fontId="35" fillId="34" borderId="33" xfId="0" applyFont="1" applyFill="1" applyBorder="1" applyAlignment="1">
      <alignment horizontal="center" vertical="center"/>
    </xf>
    <xf numFmtId="0" fontId="35" fillId="34" borderId="58" xfId="0" applyFont="1" applyFill="1" applyBorder="1" applyAlignment="1">
      <alignment horizontal="center" vertical="center"/>
    </xf>
    <xf numFmtId="0" fontId="16" fillId="29" borderId="19" xfId="0" applyFont="1" applyFill="1" applyBorder="1" applyAlignment="1" applyProtection="1">
      <alignment horizontal="center" vertical="center"/>
      <protection hidden="1"/>
    </xf>
    <xf numFmtId="0" fontId="16" fillId="29" borderId="62" xfId="0" applyFont="1" applyFill="1" applyBorder="1" applyAlignment="1" applyProtection="1">
      <alignment horizontal="center" vertical="center"/>
      <protection hidden="1"/>
    </xf>
    <xf numFmtId="0" fontId="16" fillId="29" borderId="35" xfId="0" applyFont="1" applyFill="1" applyBorder="1" applyAlignment="1" applyProtection="1">
      <alignment horizontal="center" vertical="center"/>
      <protection hidden="1"/>
    </xf>
    <xf numFmtId="0" fontId="50" fillId="29" borderId="35" xfId="0" applyFont="1" applyFill="1" applyBorder="1" applyAlignment="1" applyProtection="1">
      <alignment horizontal="center" vertical="center"/>
      <protection hidden="1"/>
    </xf>
    <xf numFmtId="4" fontId="16" fillId="29" borderId="68" xfId="0" applyNumberFormat="1" applyFont="1" applyFill="1" applyBorder="1" applyAlignment="1" applyProtection="1">
      <alignment horizontal="center" vertical="center"/>
      <protection hidden="1"/>
    </xf>
    <xf numFmtId="4" fontId="16" fillId="29" borderId="67" xfId="0" applyNumberFormat="1" applyFont="1" applyFill="1" applyBorder="1" applyAlignment="1" applyProtection="1">
      <alignment horizontal="center" vertical="center"/>
      <protection hidden="1"/>
    </xf>
    <xf numFmtId="0" fontId="135" fillId="29" borderId="38" xfId="0" applyFont="1" applyFill="1" applyBorder="1" applyAlignment="1" applyProtection="1">
      <alignment horizontal="center" vertical="center"/>
      <protection hidden="1"/>
    </xf>
    <xf numFmtId="0" fontId="135" fillId="29" borderId="65" xfId="0" applyFont="1" applyFill="1" applyBorder="1" applyAlignment="1" applyProtection="1">
      <alignment horizontal="center" vertical="center"/>
      <protection hidden="1"/>
    </xf>
    <xf numFmtId="0" fontId="135" fillId="29" borderId="66" xfId="0" applyFont="1" applyFill="1" applyBorder="1" applyAlignment="1" applyProtection="1">
      <alignment horizontal="center" vertical="center"/>
      <protection hidden="1"/>
    </xf>
    <xf numFmtId="0" fontId="135" fillId="29" borderId="33" xfId="0" applyFont="1" applyFill="1" applyBorder="1" applyAlignment="1" applyProtection="1">
      <alignment horizontal="center" vertical="center"/>
      <protection hidden="1"/>
    </xf>
    <xf numFmtId="0" fontId="135" fillId="29" borderId="11" xfId="0" applyFont="1" applyFill="1" applyBorder="1" applyAlignment="1" applyProtection="1">
      <alignment horizontal="center" vertical="center"/>
      <protection hidden="1"/>
    </xf>
    <xf numFmtId="0" fontId="135" fillId="29" borderId="58" xfId="0" applyFont="1" applyFill="1" applyBorder="1" applyAlignment="1" applyProtection="1">
      <alignment horizontal="center" vertical="center"/>
      <protection hidden="1"/>
    </xf>
    <xf numFmtId="2" fontId="35" fillId="0" borderId="61" xfId="0" applyNumberFormat="1" applyFont="1" applyBorder="1" applyAlignment="1" applyProtection="1">
      <alignment horizontal="center" vertical="center"/>
      <protection hidden="1"/>
    </xf>
    <xf numFmtId="2" fontId="35" fillId="0" borderId="27" xfId="0" applyNumberFormat="1" applyFont="1" applyBorder="1" applyAlignment="1" applyProtection="1">
      <alignment horizontal="center" vertical="center"/>
      <protection hidden="1"/>
    </xf>
    <xf numFmtId="2" fontId="35" fillId="0" borderId="65" xfId="0" applyNumberFormat="1" applyFont="1" applyBorder="1" applyAlignment="1" applyProtection="1">
      <alignment horizontal="center" vertical="center"/>
      <protection hidden="1"/>
    </xf>
    <xf numFmtId="2" fontId="35" fillId="0" borderId="66" xfId="0" applyNumberFormat="1" applyFont="1" applyBorder="1" applyAlignment="1" applyProtection="1">
      <alignment horizontal="center" vertical="center"/>
      <protection hidden="1"/>
    </xf>
    <xf numFmtId="0" fontId="35" fillId="29" borderId="11" xfId="0" applyFont="1" applyFill="1" applyBorder="1" applyAlignment="1" applyProtection="1">
      <alignment horizontal="center" vertical="center"/>
      <protection hidden="1"/>
    </xf>
    <xf numFmtId="0" fontId="35" fillId="29" borderId="16" xfId="0" applyFont="1" applyFill="1" applyBorder="1" applyAlignment="1" applyProtection="1">
      <alignment horizontal="center" vertical="center"/>
      <protection hidden="1"/>
    </xf>
    <xf numFmtId="0" fontId="26" fillId="31" borderId="33" xfId="0" applyFont="1" applyFill="1" applyBorder="1" applyAlignment="1" applyProtection="1">
      <alignment horizontal="center" vertical="center"/>
      <protection hidden="1"/>
    </xf>
    <xf numFmtId="0" fontId="26" fillId="31" borderId="11" xfId="0" applyFont="1" applyFill="1" applyBorder="1" applyAlignment="1" applyProtection="1">
      <alignment horizontal="center" vertical="center"/>
      <protection hidden="1"/>
    </xf>
    <xf numFmtId="0" fontId="26" fillId="31" borderId="58" xfId="0" applyFont="1" applyFill="1" applyBorder="1" applyAlignment="1" applyProtection="1">
      <alignment horizontal="center" vertical="center"/>
      <protection hidden="1"/>
    </xf>
    <xf numFmtId="0" fontId="45" fillId="0" borderId="84" xfId="0" applyFont="1" applyBorder="1" applyAlignment="1" applyProtection="1">
      <alignment horizontal="justify" vertical="center" wrapText="1"/>
      <protection hidden="1"/>
    </xf>
    <xf numFmtId="0" fontId="45" fillId="0" borderId="85" xfId="0" applyFont="1" applyBorder="1" applyAlignment="1" applyProtection="1">
      <alignment horizontal="justify" vertical="center" wrapText="1"/>
      <protection hidden="1"/>
    </xf>
    <xf numFmtId="0" fontId="45" fillId="0" borderId="0" xfId="0" applyFont="1" applyAlignment="1" applyProtection="1">
      <alignment horizontal="justify" vertical="center" wrapText="1"/>
      <protection hidden="1"/>
    </xf>
    <xf numFmtId="0" fontId="45" fillId="0" borderId="53" xfId="0" applyFont="1" applyBorder="1" applyAlignment="1" applyProtection="1">
      <alignment horizontal="justify" vertical="center" wrapText="1"/>
      <protection hidden="1"/>
    </xf>
    <xf numFmtId="0" fontId="45" fillId="0" borderId="72" xfId="0" applyFont="1" applyBorder="1" applyAlignment="1" applyProtection="1">
      <alignment horizontal="justify" vertical="center" wrapText="1"/>
      <protection hidden="1"/>
    </xf>
    <xf numFmtId="0" fontId="45" fillId="0" borderId="71" xfId="0" applyFont="1" applyBorder="1" applyAlignment="1" applyProtection="1">
      <alignment horizontal="justify" vertical="center" wrapText="1"/>
      <protection hidden="1"/>
    </xf>
    <xf numFmtId="0" fontId="45" fillId="0" borderId="79" xfId="0" applyFont="1" applyBorder="1" applyAlignment="1" applyProtection="1">
      <alignment horizontal="justify" vertical="center" wrapText="1"/>
      <protection hidden="1"/>
    </xf>
    <xf numFmtId="0" fontId="45" fillId="0" borderId="0" xfId="0" applyFont="1" applyAlignment="1" applyProtection="1">
      <alignment horizontal="right" vertical="center"/>
      <protection hidden="1"/>
    </xf>
    <xf numFmtId="0" fontId="45" fillId="0" borderId="53" xfId="0" applyFont="1" applyBorder="1" applyAlignment="1" applyProtection="1">
      <alignment horizontal="right" vertical="center"/>
      <protection hidden="1"/>
    </xf>
    <xf numFmtId="49" fontId="0" fillId="0" borderId="64" xfId="0" applyNumberFormat="1" applyBorder="1" applyAlignment="1" applyProtection="1">
      <alignment horizontal="center" vertical="center"/>
      <protection hidden="1"/>
    </xf>
    <xf numFmtId="0" fontId="50" fillId="0" borderId="0" xfId="0" applyFont="1" applyAlignment="1" applyProtection="1">
      <alignment horizontal="center" vertical="center"/>
      <protection hidden="1"/>
    </xf>
    <xf numFmtId="2" fontId="35" fillId="0" borderId="0" xfId="0" applyNumberFormat="1" applyFont="1" applyAlignment="1" applyProtection="1">
      <alignment horizontal="center" vertical="center"/>
      <protection hidden="1"/>
    </xf>
    <xf numFmtId="14" fontId="42" fillId="0" borderId="28" xfId="0" applyNumberFormat="1" applyFont="1" applyBorder="1" applyAlignment="1" applyProtection="1">
      <alignment horizontal="center" vertical="center"/>
      <protection hidden="1"/>
    </xf>
    <xf numFmtId="168" fontId="38" fillId="0" borderId="71" xfId="0" applyNumberFormat="1" applyFont="1" applyBorder="1" applyAlignment="1" applyProtection="1">
      <alignment horizontal="center" vertical="center"/>
      <protection hidden="1"/>
    </xf>
    <xf numFmtId="169" fontId="42" fillId="0" borderId="71" xfId="0" applyNumberFormat="1" applyFont="1" applyBorder="1" applyAlignment="1" applyProtection="1">
      <alignment horizontal="center" vertical="center"/>
      <protection hidden="1"/>
    </xf>
    <xf numFmtId="0" fontId="170" fillId="0" borderId="0" xfId="0" applyFont="1" applyAlignment="1" applyProtection="1">
      <alignment horizontal="center" vertical="center"/>
      <protection hidden="1"/>
    </xf>
    <xf numFmtId="0" fontId="170" fillId="0" borderId="26" xfId="0" applyFont="1" applyBorder="1" applyAlignment="1" applyProtection="1">
      <alignment horizontal="center" vertical="center"/>
      <protection hidden="1"/>
    </xf>
    <xf numFmtId="0" fontId="82" fillId="0" borderId="0" xfId="0" applyFont="1" applyAlignment="1" applyProtection="1">
      <alignment horizontal="center" vertical="center"/>
      <protection hidden="1"/>
    </xf>
    <xf numFmtId="3" fontId="0" fillId="0" borderId="0" xfId="0" applyNumberFormat="1" applyAlignment="1" applyProtection="1">
      <alignment horizontal="center" vertical="center"/>
      <protection hidden="1"/>
    </xf>
    <xf numFmtId="0" fontId="49" fillId="0" borderId="15" xfId="0" applyFont="1" applyBorder="1" applyAlignment="1" applyProtection="1">
      <alignment horizontal="right" vertical="center"/>
      <protection hidden="1"/>
    </xf>
    <xf numFmtId="0" fontId="49" fillId="0" borderId="16" xfId="0" applyFont="1" applyBorder="1" applyAlignment="1" applyProtection="1">
      <alignment horizontal="right" vertical="center"/>
      <protection hidden="1"/>
    </xf>
    <xf numFmtId="0" fontId="131" fillId="0" borderId="0" xfId="0" applyFont="1" applyAlignment="1" applyProtection="1">
      <alignment horizontal="center" vertical="center"/>
      <protection hidden="1"/>
    </xf>
    <xf numFmtId="0" fontId="85" fillId="0" borderId="0" xfId="0" applyFont="1" applyAlignment="1" applyProtection="1">
      <alignment horizontal="center" vertical="center"/>
      <protection locked="0" hidden="1"/>
    </xf>
    <xf numFmtId="0" fontId="84" fillId="0" borderId="0" xfId="0" applyFont="1" applyAlignment="1" applyProtection="1">
      <alignment horizontal="center" vertical="center"/>
      <protection locked="0" hidden="1"/>
    </xf>
    <xf numFmtId="0" fontId="49" fillId="0" borderId="16" xfId="0" applyFont="1" applyBorder="1" applyAlignment="1" applyProtection="1">
      <alignment horizontal="center" vertical="center"/>
      <protection hidden="1"/>
    </xf>
    <xf numFmtId="0" fontId="49" fillId="0" borderId="17" xfId="0" applyFont="1" applyBorder="1" applyAlignment="1" applyProtection="1">
      <alignment horizontal="center" vertical="center"/>
      <protection hidden="1"/>
    </xf>
    <xf numFmtId="0" fontId="55" fillId="31" borderId="12" xfId="0" applyFont="1" applyFill="1" applyBorder="1" applyAlignment="1" applyProtection="1">
      <alignment horizontal="center" vertical="center"/>
      <protection hidden="1"/>
    </xf>
    <xf numFmtId="0" fontId="55" fillId="31" borderId="13" xfId="0" applyFont="1" applyFill="1" applyBorder="1" applyAlignment="1" applyProtection="1">
      <alignment horizontal="center" vertical="center"/>
      <protection hidden="1"/>
    </xf>
    <xf numFmtId="0" fontId="55" fillId="31" borderId="14" xfId="0" applyFont="1" applyFill="1" applyBorder="1" applyAlignment="1" applyProtection="1">
      <alignment horizontal="center" vertical="center"/>
      <protection hidden="1"/>
    </xf>
    <xf numFmtId="0" fontId="49" fillId="0" borderId="15" xfId="0" applyFont="1" applyBorder="1" applyAlignment="1" applyProtection="1">
      <alignment horizontal="center" vertical="center"/>
      <protection hidden="1"/>
    </xf>
    <xf numFmtId="0" fontId="86" fillId="0" borderId="0" xfId="0" applyFont="1" applyAlignment="1" applyProtection="1">
      <alignment horizontal="center" vertical="center"/>
      <protection locked="0" hidden="1"/>
    </xf>
    <xf numFmtId="0" fontId="50" fillId="0" borderId="84" xfId="0" applyFont="1" applyBorder="1" applyAlignment="1" applyProtection="1">
      <alignment horizontal="right" vertical="center"/>
      <protection hidden="1"/>
    </xf>
    <xf numFmtId="14" fontId="40" fillId="0" borderId="0" xfId="0" applyNumberFormat="1" applyFont="1" applyAlignment="1" applyProtection="1">
      <alignment horizontal="left" vertical="center"/>
      <protection hidden="1"/>
    </xf>
    <xf numFmtId="14" fontId="40" fillId="0" borderId="53" xfId="0" applyNumberFormat="1" applyFont="1" applyBorder="1" applyAlignment="1" applyProtection="1">
      <alignment horizontal="left" vertical="center"/>
      <protection hidden="1"/>
    </xf>
    <xf numFmtId="0" fontId="50" fillId="0" borderId="84" xfId="0" applyFont="1" applyBorder="1" applyAlignment="1" applyProtection="1">
      <alignment horizontal="left" vertical="center"/>
      <protection hidden="1"/>
    </xf>
    <xf numFmtId="0" fontId="42" fillId="0" borderId="72" xfId="0" applyFont="1" applyBorder="1" applyAlignment="1" applyProtection="1">
      <alignment horizontal="center" vertical="center"/>
      <protection hidden="1"/>
    </xf>
    <xf numFmtId="0" fontId="42" fillId="0" borderId="71" xfId="0" applyFont="1" applyBorder="1" applyAlignment="1" applyProtection="1">
      <alignment horizontal="center" vertical="center"/>
      <protection hidden="1"/>
    </xf>
    <xf numFmtId="0" fontId="42" fillId="0" borderId="79" xfId="0" applyFont="1" applyBorder="1" applyAlignment="1" applyProtection="1">
      <alignment horizontal="center" vertical="center"/>
      <protection hidden="1"/>
    </xf>
    <xf numFmtId="0" fontId="49" fillId="0" borderId="28" xfId="0" applyFont="1" applyBorder="1" applyAlignment="1" applyProtection="1">
      <alignment horizontal="center" vertical="center"/>
      <protection hidden="1"/>
    </xf>
    <xf numFmtId="0" fontId="49" fillId="0" borderId="0" xfId="0" applyFont="1" applyAlignment="1" applyProtection="1">
      <alignment horizontal="center" vertical="center"/>
      <protection hidden="1"/>
    </xf>
    <xf numFmtId="0" fontId="49" fillId="0" borderId="53" xfId="0" applyFont="1" applyBorder="1" applyAlignment="1" applyProtection="1">
      <alignment horizontal="center" vertical="center"/>
      <protection hidden="1"/>
    </xf>
    <xf numFmtId="0" fontId="50" fillId="0" borderId="27" xfId="0" applyFont="1" applyBorder="1" applyAlignment="1" applyProtection="1">
      <alignment horizontal="right" vertical="center"/>
      <protection hidden="1"/>
    </xf>
    <xf numFmtId="0" fontId="50" fillId="0" borderId="62" xfId="0" applyFont="1" applyBorder="1" applyAlignment="1" applyProtection="1">
      <alignment horizontal="right" vertical="center"/>
      <protection hidden="1"/>
    </xf>
    <xf numFmtId="0" fontId="16" fillId="0" borderId="16" xfId="0" applyFont="1" applyBorder="1" applyAlignment="1" applyProtection="1">
      <alignment horizontal="right" vertical="center"/>
      <protection hidden="1"/>
    </xf>
    <xf numFmtId="0" fontId="0" fillId="0" borderId="55" xfId="0" applyBorder="1" applyAlignment="1" applyProtection="1">
      <alignment horizontal="center" vertical="center"/>
      <protection hidden="1"/>
    </xf>
    <xf numFmtId="0" fontId="0" fillId="0" borderId="63" xfId="0" applyBorder="1" applyAlignment="1" applyProtection="1">
      <alignment horizontal="center" vertical="center"/>
      <protection hidden="1"/>
    </xf>
    <xf numFmtId="0" fontId="16" fillId="29" borderId="55" xfId="0" applyFont="1" applyFill="1" applyBorder="1" applyAlignment="1" applyProtection="1">
      <alignment horizontal="center" vertical="center"/>
      <protection hidden="1"/>
    </xf>
    <xf numFmtId="0" fontId="35" fillId="0" borderId="86" xfId="0" applyFont="1" applyBorder="1" applyAlignment="1" applyProtection="1">
      <alignment horizontal="justify" vertical="center" wrapText="1"/>
      <protection hidden="1"/>
    </xf>
    <xf numFmtId="0" fontId="0" fillId="0" borderId="84" xfId="0" applyBorder="1" applyAlignment="1" applyProtection="1">
      <alignment horizontal="justify" vertical="center"/>
      <protection hidden="1"/>
    </xf>
    <xf numFmtId="0" fontId="0" fillId="0" borderId="85" xfId="0" applyBorder="1" applyAlignment="1" applyProtection="1">
      <alignment horizontal="justify" vertical="center"/>
      <protection hidden="1"/>
    </xf>
    <xf numFmtId="0" fontId="0" fillId="0" borderId="28" xfId="0" applyBorder="1" applyAlignment="1" applyProtection="1">
      <alignment horizontal="justify" vertical="center"/>
      <protection hidden="1"/>
    </xf>
    <xf numFmtId="0" fontId="0" fillId="0" borderId="0" xfId="0" applyAlignment="1" applyProtection="1">
      <alignment horizontal="justify" vertical="center"/>
      <protection hidden="1"/>
    </xf>
    <xf numFmtId="0" fontId="0" fillId="0" borderId="53" xfId="0" applyBorder="1" applyAlignment="1" applyProtection="1">
      <alignment horizontal="justify" vertical="center"/>
      <protection hidden="1"/>
    </xf>
    <xf numFmtId="0" fontId="50" fillId="0" borderId="0" xfId="0" applyFont="1" applyAlignment="1" applyProtection="1">
      <alignment horizontal="right" vertical="center"/>
      <protection hidden="1"/>
    </xf>
    <xf numFmtId="0" fontId="50" fillId="0" borderId="53" xfId="0" applyFont="1" applyBorder="1" applyAlignment="1" applyProtection="1">
      <alignment horizontal="right" vertical="center"/>
      <protection hidden="1"/>
    </xf>
    <xf numFmtId="0" fontId="16" fillId="0" borderId="53" xfId="0" applyFont="1" applyBorder="1" applyAlignment="1" applyProtection="1">
      <alignment horizontal="center" vertical="center"/>
      <protection hidden="1"/>
    </xf>
    <xf numFmtId="0" fontId="26" fillId="34" borderId="33" xfId="0" applyFont="1" applyFill="1" applyBorder="1" applyAlignment="1" applyProtection="1">
      <alignment horizontal="center" vertical="center"/>
      <protection hidden="1"/>
    </xf>
    <xf numFmtId="0" fontId="26" fillId="34" borderId="11" xfId="0" applyFont="1" applyFill="1" applyBorder="1" applyAlignment="1" applyProtection="1">
      <alignment horizontal="center" vertical="center"/>
      <protection hidden="1"/>
    </xf>
    <xf numFmtId="0" fontId="26" fillId="34" borderId="58" xfId="0" applyFont="1" applyFill="1" applyBorder="1" applyAlignment="1" applyProtection="1">
      <alignment horizontal="center" vertical="center"/>
      <protection hidden="1"/>
    </xf>
    <xf numFmtId="0" fontId="0" fillId="0" borderId="72" xfId="0" applyBorder="1" applyAlignment="1" applyProtection="1">
      <alignment horizontal="justify" vertical="center"/>
      <protection hidden="1"/>
    </xf>
    <xf numFmtId="0" fontId="0" fillId="0" borderId="71" xfId="0" applyBorder="1" applyAlignment="1" applyProtection="1">
      <alignment horizontal="justify" vertical="center"/>
      <protection hidden="1"/>
    </xf>
    <xf numFmtId="0" fontId="0" fillId="0" borderId="79" xfId="0" applyBorder="1" applyAlignment="1" applyProtection="1">
      <alignment horizontal="justify" vertical="center"/>
      <protection hidden="1"/>
    </xf>
    <xf numFmtId="0" fontId="35" fillId="34" borderId="12" xfId="0" applyFont="1" applyFill="1" applyBorder="1" applyAlignment="1" applyProtection="1">
      <alignment horizontal="center" vertical="center"/>
      <protection hidden="1"/>
    </xf>
    <xf numFmtId="0" fontId="35" fillId="34" borderId="14" xfId="0" applyFont="1" applyFill="1" applyBorder="1" applyAlignment="1" applyProtection="1">
      <alignment horizontal="center" vertical="center"/>
      <protection hidden="1"/>
    </xf>
    <xf numFmtId="0" fontId="46" fillId="31" borderId="12" xfId="0" applyFont="1" applyFill="1" applyBorder="1" applyAlignment="1">
      <alignment horizontal="center" vertical="center"/>
    </xf>
    <xf numFmtId="0" fontId="46" fillId="31" borderId="13" xfId="0" applyFont="1" applyFill="1" applyBorder="1" applyAlignment="1">
      <alignment horizontal="center" vertical="center"/>
    </xf>
    <xf numFmtId="0" fontId="46" fillId="31" borderId="14" xfId="0" applyFont="1" applyFill="1" applyBorder="1" applyAlignment="1">
      <alignment horizontal="center" vertical="center"/>
    </xf>
    <xf numFmtId="0" fontId="50" fillId="0" borderId="84" xfId="0" applyFont="1" applyBorder="1" applyAlignment="1">
      <alignment horizontal="left" vertical="center"/>
    </xf>
    <xf numFmtId="4" fontId="26" fillId="33" borderId="20" xfId="0" applyNumberFormat="1" applyFont="1" applyFill="1" applyBorder="1" applyAlignment="1">
      <alignment horizontal="center" vertical="center"/>
    </xf>
    <xf numFmtId="4" fontId="26" fillId="33" borderId="11" xfId="0" applyNumberFormat="1" applyFont="1" applyFill="1" applyBorder="1" applyAlignment="1">
      <alignment horizontal="center" vertical="center"/>
    </xf>
    <xf numFmtId="0" fontId="26" fillId="33" borderId="29" xfId="0" applyFont="1" applyFill="1" applyBorder="1" applyAlignment="1">
      <alignment horizontal="center" vertical="center"/>
    </xf>
    <xf numFmtId="0" fontId="26" fillId="33" borderId="20" xfId="0" applyFont="1" applyFill="1" applyBorder="1" applyAlignment="1">
      <alignment horizontal="center" vertical="center"/>
    </xf>
    <xf numFmtId="2" fontId="46" fillId="31" borderId="12" xfId="0" applyNumberFormat="1" applyFont="1" applyFill="1" applyBorder="1" applyAlignment="1">
      <alignment horizontal="center" vertical="center"/>
    </xf>
    <xf numFmtId="0" fontId="26" fillId="0" borderId="20" xfId="0" applyFont="1" applyBorder="1" applyAlignment="1">
      <alignment horizontal="center" vertical="center"/>
    </xf>
    <xf numFmtId="0" fontId="26" fillId="0" borderId="29" xfId="0" applyFont="1" applyBorder="1" applyAlignment="1">
      <alignment horizontal="center" vertical="center"/>
    </xf>
    <xf numFmtId="0" fontId="16" fillId="0" borderId="84" xfId="0" applyFont="1" applyBorder="1" applyAlignment="1">
      <alignment horizontal="right" vertical="center"/>
    </xf>
    <xf numFmtId="4" fontId="81" fillId="29" borderId="12" xfId="52" applyNumberFormat="1" applyFont="1" applyFill="1" applyBorder="1" applyAlignment="1" applyProtection="1">
      <alignment horizontal="center"/>
      <protection hidden="1"/>
    </xf>
    <xf numFmtId="4" fontId="81" fillId="29" borderId="14" xfId="52" applyNumberFormat="1" applyFont="1" applyFill="1" applyBorder="1" applyAlignment="1" applyProtection="1">
      <alignment horizontal="center"/>
      <protection hidden="1"/>
    </xf>
    <xf numFmtId="0" fontId="81" fillId="29" borderId="0" xfId="52" applyFont="1" applyFill="1" applyAlignment="1" applyProtection="1">
      <alignment horizontal="center"/>
      <protection hidden="1"/>
    </xf>
    <xf numFmtId="0" fontId="65" fillId="29" borderId="20" xfId="52" applyFont="1" applyFill="1" applyBorder="1" applyAlignment="1" applyProtection="1">
      <alignment horizontal="center"/>
      <protection hidden="1"/>
    </xf>
    <xf numFmtId="0" fontId="65" fillId="29" borderId="11" xfId="52" applyFont="1" applyFill="1" applyBorder="1" applyAlignment="1" applyProtection="1">
      <alignment horizontal="center"/>
      <protection hidden="1"/>
    </xf>
    <xf numFmtId="0" fontId="65" fillId="29" borderId="29" xfId="52" applyFont="1" applyFill="1" applyBorder="1" applyAlignment="1" applyProtection="1">
      <alignment horizontal="center"/>
      <protection hidden="1"/>
    </xf>
    <xf numFmtId="0" fontId="64" fillId="29" borderId="0" xfId="52" applyFont="1" applyFill="1" applyAlignment="1" applyProtection="1">
      <alignment horizontal="center"/>
      <protection hidden="1"/>
    </xf>
    <xf numFmtId="0" fontId="65" fillId="29" borderId="10" xfId="52" applyFont="1" applyFill="1" applyBorder="1" applyAlignment="1" applyProtection="1">
      <alignment horizontal="center"/>
      <protection hidden="1"/>
    </xf>
    <xf numFmtId="0" fontId="95" fillId="29" borderId="28" xfId="52" applyFont="1" applyFill="1" applyBorder="1" applyAlignment="1" applyProtection="1">
      <alignment horizontal="center"/>
      <protection hidden="1"/>
    </xf>
    <xf numFmtId="0" fontId="95" fillId="29" borderId="0" xfId="52" applyFont="1" applyFill="1" applyAlignment="1" applyProtection="1">
      <alignment horizontal="center"/>
      <protection hidden="1"/>
    </xf>
    <xf numFmtId="0" fontId="95" fillId="29" borderId="17" xfId="52" applyFont="1" applyFill="1" applyBorder="1" applyAlignment="1" applyProtection="1">
      <alignment horizontal="center"/>
      <protection hidden="1"/>
    </xf>
    <xf numFmtId="0" fontId="64" fillId="29" borderId="20" xfId="52" applyFont="1" applyFill="1" applyBorder="1" applyAlignment="1" applyProtection="1">
      <alignment horizontal="center"/>
      <protection hidden="1"/>
    </xf>
    <xf numFmtId="0" fontId="64" fillId="29" borderId="29" xfId="52" applyFont="1" applyFill="1" applyBorder="1" applyAlignment="1" applyProtection="1">
      <alignment horizontal="center"/>
      <protection hidden="1"/>
    </xf>
    <xf numFmtId="0" fontId="64" fillId="29" borderId="10" xfId="52" applyFont="1" applyFill="1" applyBorder="1" applyAlignment="1" applyProtection="1">
      <alignment horizontal="center"/>
      <protection hidden="1"/>
    </xf>
    <xf numFmtId="0" fontId="188" fillId="29" borderId="20" xfId="0" applyFont="1" applyFill="1" applyBorder="1" applyAlignment="1">
      <alignment horizontal="center"/>
    </xf>
    <xf numFmtId="0" fontId="188" fillId="29" borderId="11" xfId="0" applyFont="1" applyFill="1" applyBorder="1" applyAlignment="1">
      <alignment horizontal="center"/>
    </xf>
    <xf numFmtId="0" fontId="188" fillId="29" borderId="29" xfId="0" applyFont="1" applyFill="1" applyBorder="1" applyAlignment="1">
      <alignment horizontal="center"/>
    </xf>
    <xf numFmtId="0" fontId="190" fillId="29" borderId="20" xfId="52" applyFont="1" applyFill="1" applyBorder="1" applyAlignment="1" applyProtection="1">
      <alignment horizontal="center"/>
      <protection hidden="1"/>
    </xf>
    <xf numFmtId="0" fontId="190" fillId="29" borderId="29" xfId="52" applyFont="1" applyFill="1" applyBorder="1" applyAlignment="1" applyProtection="1">
      <alignment horizontal="center"/>
      <protection hidden="1"/>
    </xf>
    <xf numFmtId="0" fontId="189" fillId="29" borderId="20" xfId="52" applyFont="1" applyFill="1" applyBorder="1" applyAlignment="1" applyProtection="1">
      <alignment horizontal="center"/>
      <protection hidden="1"/>
    </xf>
    <xf numFmtId="0" fontId="189" fillId="29" borderId="29" xfId="52" applyFont="1" applyFill="1" applyBorder="1" applyAlignment="1" applyProtection="1">
      <alignment horizontal="center"/>
      <protection hidden="1"/>
    </xf>
    <xf numFmtId="0" fontId="64" fillId="29" borderId="11" xfId="52" applyFont="1" applyFill="1" applyBorder="1" applyAlignment="1" applyProtection="1">
      <alignment horizontal="center"/>
      <protection hidden="1"/>
    </xf>
    <xf numFmtId="0" fontId="182" fillId="29" borderId="12" xfId="52" applyFont="1" applyFill="1" applyBorder="1" applyAlignment="1" applyProtection="1">
      <alignment horizontal="center" vertical="center"/>
      <protection hidden="1"/>
    </xf>
    <xf numFmtId="0" fontId="182" fillId="29" borderId="13" xfId="52" applyFont="1" applyFill="1" applyBorder="1" applyAlignment="1" applyProtection="1">
      <alignment horizontal="center" vertical="center"/>
      <protection hidden="1"/>
    </xf>
    <xf numFmtId="0" fontId="182" fillId="29" borderId="14" xfId="52" applyFont="1" applyFill="1" applyBorder="1" applyAlignment="1" applyProtection="1">
      <alignment horizontal="center" vertical="center"/>
      <protection hidden="1"/>
    </xf>
    <xf numFmtId="0" fontId="80" fillId="29" borderId="20" xfId="52" applyFont="1" applyFill="1" applyBorder="1" applyAlignment="1" applyProtection="1">
      <alignment horizontal="center"/>
      <protection hidden="1"/>
    </xf>
    <xf numFmtId="0" fontId="80" fillId="29" borderId="11" xfId="52" applyFont="1" applyFill="1" applyBorder="1" applyAlignment="1" applyProtection="1">
      <alignment horizontal="center"/>
      <protection hidden="1"/>
    </xf>
    <xf numFmtId="0" fontId="80" fillId="29" borderId="29" xfId="52" applyFont="1" applyFill="1" applyBorder="1" applyAlignment="1" applyProtection="1">
      <alignment horizontal="center"/>
      <protection hidden="1"/>
    </xf>
    <xf numFmtId="0" fontId="81" fillId="29" borderId="12" xfId="52" applyFont="1" applyFill="1" applyBorder="1" applyAlignment="1" applyProtection="1">
      <alignment horizontal="center"/>
      <protection hidden="1"/>
    </xf>
    <xf numFmtId="0" fontId="81" fillId="29" borderId="13" xfId="52" applyFont="1" applyFill="1" applyBorder="1" applyAlignment="1" applyProtection="1">
      <alignment horizontal="center"/>
      <protection hidden="1"/>
    </xf>
    <xf numFmtId="0" fontId="81" fillId="29" borderId="14" xfId="52" applyFont="1" applyFill="1" applyBorder="1" applyAlignment="1" applyProtection="1">
      <alignment horizontal="center"/>
      <protection hidden="1"/>
    </xf>
    <xf numFmtId="0" fontId="65" fillId="29" borderId="12" xfId="52" applyFont="1" applyFill="1" applyBorder="1" applyAlignment="1" applyProtection="1">
      <alignment horizontal="center"/>
      <protection hidden="1"/>
    </xf>
    <xf numFmtId="0" fontId="65" fillId="29" borderId="13" xfId="52" applyFont="1" applyFill="1" applyBorder="1" applyAlignment="1" applyProtection="1">
      <alignment horizontal="center"/>
      <protection hidden="1"/>
    </xf>
    <xf numFmtId="0" fontId="65" fillId="29" borderId="14" xfId="52" applyFont="1" applyFill="1" applyBorder="1" applyAlignment="1" applyProtection="1">
      <alignment horizontal="center"/>
      <protection hidden="1"/>
    </xf>
    <xf numFmtId="0" fontId="81" fillId="29" borderId="12" xfId="52" applyFont="1" applyFill="1" applyBorder="1" applyAlignment="1" applyProtection="1">
      <alignment horizontal="center" vertical="center"/>
      <protection hidden="1"/>
    </xf>
    <xf numFmtId="0" fontId="81" fillId="29" borderId="13" xfId="52" applyFont="1" applyFill="1" applyBorder="1" applyAlignment="1" applyProtection="1">
      <alignment horizontal="center" vertical="center"/>
      <protection hidden="1"/>
    </xf>
    <xf numFmtId="0" fontId="81" fillId="29" borderId="14" xfId="52" applyFont="1" applyFill="1" applyBorder="1" applyAlignment="1" applyProtection="1">
      <alignment horizontal="center" vertical="center"/>
      <protection hidden="1"/>
    </xf>
    <xf numFmtId="14" fontId="64" fillId="29" borderId="12" xfId="52" applyNumberFormat="1" applyFont="1" applyFill="1" applyBorder="1" applyAlignment="1" applyProtection="1">
      <alignment horizontal="center" vertical="center"/>
      <protection hidden="1"/>
    </xf>
    <xf numFmtId="0" fontId="64" fillId="29" borderId="14" xfId="52" applyFont="1" applyFill="1" applyBorder="1" applyAlignment="1" applyProtection="1">
      <alignment horizontal="center" vertical="center"/>
      <protection hidden="1"/>
    </xf>
    <xf numFmtId="0" fontId="101" fillId="29" borderId="0" xfId="60" applyNumberFormat="1" applyFont="1" applyFill="1" applyBorder="1" applyAlignment="1" applyProtection="1">
      <alignment horizontal="center"/>
      <protection hidden="1"/>
    </xf>
    <xf numFmtId="0" fontId="185" fillId="29" borderId="0" xfId="52" applyFont="1" applyFill="1" applyAlignment="1" applyProtection="1">
      <alignment horizontal="center"/>
      <protection hidden="1"/>
    </xf>
    <xf numFmtId="4" fontId="187" fillId="29" borderId="12" xfId="52" applyNumberFormat="1" applyFont="1" applyFill="1" applyBorder="1" applyAlignment="1" applyProtection="1">
      <alignment horizontal="center"/>
      <protection hidden="1"/>
    </xf>
    <xf numFmtId="4" fontId="187" fillId="29" borderId="14" xfId="52" applyNumberFormat="1" applyFont="1" applyFill="1" applyBorder="1" applyAlignment="1" applyProtection="1">
      <alignment horizontal="center"/>
      <protection hidden="1"/>
    </xf>
    <xf numFmtId="10" fontId="95" fillId="29" borderId="40" xfId="52" applyNumberFormat="1" applyFont="1" applyFill="1" applyBorder="1" applyAlignment="1" applyProtection="1">
      <alignment horizontal="center"/>
      <protection hidden="1"/>
    </xf>
    <xf numFmtId="10" fontId="95" fillId="29" borderId="32" xfId="52" applyNumberFormat="1" applyFont="1" applyFill="1" applyBorder="1" applyAlignment="1" applyProtection="1">
      <alignment horizontal="center"/>
      <protection hidden="1"/>
    </xf>
    <xf numFmtId="0" fontId="95" fillId="29" borderId="43" xfId="52" applyFont="1" applyFill="1" applyBorder="1" applyAlignment="1" applyProtection="1">
      <alignment horizontal="center"/>
      <protection hidden="1"/>
    </xf>
    <xf numFmtId="0" fontId="95" fillId="29" borderId="49" xfId="52" applyFont="1" applyFill="1" applyBorder="1" applyAlignment="1" applyProtection="1">
      <alignment horizontal="center"/>
      <protection hidden="1"/>
    </xf>
    <xf numFmtId="0" fontId="95" fillId="29" borderId="29" xfId="52" applyFont="1" applyFill="1" applyBorder="1" applyAlignment="1" applyProtection="1">
      <alignment horizontal="center"/>
      <protection hidden="1"/>
    </xf>
    <xf numFmtId="0" fontId="95" fillId="29" borderId="32" xfId="52" applyFont="1" applyFill="1" applyBorder="1" applyAlignment="1" applyProtection="1">
      <alignment horizontal="center"/>
      <protection hidden="1"/>
    </xf>
    <xf numFmtId="0" fontId="95" fillId="29" borderId="40" xfId="52" applyFont="1" applyFill="1" applyBorder="1" applyAlignment="1" applyProtection="1">
      <alignment horizontal="center"/>
      <protection hidden="1"/>
    </xf>
    <xf numFmtId="4" fontId="64" fillId="29" borderId="12" xfId="52" applyNumberFormat="1" applyFont="1" applyFill="1" applyBorder="1" applyAlignment="1" applyProtection="1">
      <alignment horizontal="center"/>
      <protection hidden="1"/>
    </xf>
    <xf numFmtId="4" fontId="64" fillId="29" borderId="14" xfId="52" applyNumberFormat="1" applyFont="1" applyFill="1" applyBorder="1" applyAlignment="1" applyProtection="1">
      <alignment horizontal="center"/>
      <protection hidden="1"/>
    </xf>
    <xf numFmtId="0" fontId="187" fillId="29" borderId="12" xfId="52" applyFont="1" applyFill="1" applyBorder="1" applyAlignment="1" applyProtection="1">
      <alignment horizontal="center"/>
      <protection hidden="1"/>
    </xf>
    <xf numFmtId="0" fontId="187" fillId="29" borderId="13" xfId="52" applyFont="1" applyFill="1" applyBorder="1" applyAlignment="1" applyProtection="1">
      <alignment horizontal="center"/>
      <protection hidden="1"/>
    </xf>
    <xf numFmtId="0" fontId="187" fillId="29" borderId="14" xfId="52" applyFont="1" applyFill="1" applyBorder="1" applyAlignment="1" applyProtection="1">
      <alignment horizontal="center"/>
      <protection hidden="1"/>
    </xf>
    <xf numFmtId="0" fontId="183" fillId="29" borderId="12" xfId="52" applyFont="1" applyFill="1" applyBorder="1" applyAlignment="1" applyProtection="1">
      <alignment horizontal="center"/>
      <protection hidden="1"/>
    </xf>
    <xf numFmtId="0" fontId="183" fillId="29" borderId="13" xfId="52" applyFont="1" applyFill="1" applyBorder="1" applyAlignment="1" applyProtection="1">
      <alignment horizontal="center"/>
      <protection hidden="1"/>
    </xf>
    <xf numFmtId="0" fontId="183" fillId="29" borderId="14" xfId="52" applyFont="1" applyFill="1" applyBorder="1" applyAlignment="1" applyProtection="1">
      <alignment horizontal="center"/>
      <protection hidden="1"/>
    </xf>
    <xf numFmtId="0" fontId="184" fillId="29" borderId="12" xfId="52" applyFont="1" applyFill="1" applyBorder="1" applyAlignment="1" applyProtection="1">
      <alignment horizontal="center"/>
      <protection hidden="1"/>
    </xf>
    <xf numFmtId="0" fontId="184" fillId="29" borderId="13" xfId="52" applyFont="1" applyFill="1" applyBorder="1" applyAlignment="1" applyProtection="1">
      <alignment horizontal="center"/>
      <protection hidden="1"/>
    </xf>
    <xf numFmtId="0" fontId="184" fillId="29" borderId="14" xfId="52" applyFont="1" applyFill="1" applyBorder="1" applyAlignment="1" applyProtection="1">
      <alignment horizontal="center"/>
      <protection hidden="1"/>
    </xf>
    <xf numFmtId="0" fontId="101" fillId="29" borderId="0" xfId="60" applyFont="1" applyFill="1" applyBorder="1" applyAlignment="1" applyProtection="1">
      <alignment horizontal="center"/>
      <protection hidden="1"/>
    </xf>
    <xf numFmtId="4" fontId="64" fillId="29" borderId="20" xfId="52" applyNumberFormat="1" applyFont="1" applyFill="1" applyBorder="1" applyAlignment="1" applyProtection="1">
      <alignment horizontal="center"/>
      <protection hidden="1"/>
    </xf>
    <xf numFmtId="4" fontId="64" fillId="29" borderId="29" xfId="52" applyNumberFormat="1" applyFont="1" applyFill="1" applyBorder="1" applyAlignment="1" applyProtection="1">
      <alignment horizontal="center"/>
      <protection hidden="1"/>
    </xf>
    <xf numFmtId="4" fontId="64" fillId="29" borderId="71" xfId="52" applyNumberFormat="1" applyFont="1" applyFill="1" applyBorder="1" applyAlignment="1" applyProtection="1">
      <alignment horizontal="center"/>
      <protection hidden="1"/>
    </xf>
    <xf numFmtId="4" fontId="64" fillId="29" borderId="79" xfId="52" applyNumberFormat="1" applyFont="1" applyFill="1" applyBorder="1" applyAlignment="1" applyProtection="1">
      <alignment horizontal="center"/>
      <protection hidden="1"/>
    </xf>
    <xf numFmtId="4" fontId="80" fillId="29" borderId="83" xfId="52" applyNumberFormat="1" applyFont="1" applyFill="1" applyBorder="1" applyAlignment="1" applyProtection="1">
      <alignment horizontal="center"/>
      <protection hidden="1"/>
    </xf>
    <xf numFmtId="4" fontId="80" fillId="29" borderId="84" xfId="52" applyNumberFormat="1" applyFont="1" applyFill="1" applyBorder="1" applyAlignment="1" applyProtection="1">
      <alignment horizontal="center"/>
      <protection hidden="1"/>
    </xf>
    <xf numFmtId="4" fontId="80" fillId="29" borderId="0" xfId="52" applyNumberFormat="1" applyFont="1" applyFill="1" applyAlignment="1" applyProtection="1">
      <alignment horizontal="center"/>
      <protection hidden="1"/>
    </xf>
    <xf numFmtId="4" fontId="80" fillId="29" borderId="26" xfId="52" applyNumberFormat="1" applyFont="1" applyFill="1" applyBorder="1" applyAlignment="1" applyProtection="1">
      <alignment horizontal="center"/>
      <protection hidden="1"/>
    </xf>
    <xf numFmtId="4" fontId="65" fillId="29" borderId="20" xfId="52" applyNumberFormat="1" applyFont="1" applyFill="1" applyBorder="1" applyAlignment="1" applyProtection="1">
      <alignment horizontal="center"/>
      <protection hidden="1"/>
    </xf>
    <xf numFmtId="0" fontId="95" fillId="29" borderId="70" xfId="52" applyFont="1" applyFill="1" applyBorder="1" applyAlignment="1" applyProtection="1">
      <alignment horizontal="center"/>
      <protection hidden="1"/>
    </xf>
    <xf numFmtId="0" fontId="65" fillId="29" borderId="0" xfId="52" applyFont="1" applyFill="1" applyAlignment="1" applyProtection="1">
      <alignment horizontal="center"/>
      <protection hidden="1"/>
    </xf>
    <xf numFmtId="4" fontId="64" fillId="29" borderId="0" xfId="52" applyNumberFormat="1" applyFont="1" applyFill="1" applyAlignment="1" applyProtection="1">
      <alignment horizontal="right"/>
      <protection hidden="1"/>
    </xf>
    <xf numFmtId="0" fontId="64" fillId="29" borderId="33" xfId="52" applyFont="1" applyFill="1" applyBorder="1" applyAlignment="1" applyProtection="1">
      <alignment horizontal="center"/>
      <protection hidden="1"/>
    </xf>
    <xf numFmtId="0" fontId="190" fillId="29" borderId="45" xfId="52" applyFont="1" applyFill="1" applyBorder="1" applyAlignment="1" applyProtection="1">
      <alignment horizontal="center"/>
      <protection hidden="1"/>
    </xf>
    <xf numFmtId="0" fontId="190" fillId="29" borderId="73" xfId="52" applyFont="1" applyFill="1" applyBorder="1" applyAlignment="1" applyProtection="1">
      <alignment horizontal="center"/>
      <protection hidden="1"/>
    </xf>
    <xf numFmtId="10" fontId="65" fillId="29" borderId="12" xfId="52" applyNumberFormat="1" applyFont="1" applyFill="1" applyBorder="1" applyAlignment="1" applyProtection="1">
      <alignment horizontal="center"/>
      <protection hidden="1"/>
    </xf>
    <xf numFmtId="14" fontId="65" fillId="29" borderId="14" xfId="52" applyNumberFormat="1" applyFont="1" applyFill="1" applyBorder="1" applyAlignment="1" applyProtection="1">
      <alignment horizontal="center"/>
      <protection hidden="1"/>
    </xf>
    <xf numFmtId="10" fontId="95" fillId="29" borderId="87" xfId="52" applyNumberFormat="1" applyFont="1" applyFill="1" applyBorder="1" applyAlignment="1" applyProtection="1">
      <alignment horizontal="center"/>
      <protection hidden="1"/>
    </xf>
    <xf numFmtId="10" fontId="95" fillId="29" borderId="82" xfId="52" applyNumberFormat="1" applyFont="1" applyFill="1" applyBorder="1" applyAlignment="1" applyProtection="1">
      <alignment horizontal="center"/>
      <protection hidden="1"/>
    </xf>
    <xf numFmtId="14" fontId="65" fillId="29" borderId="12" xfId="52" applyNumberFormat="1" applyFont="1" applyFill="1" applyBorder="1" applyAlignment="1" applyProtection="1">
      <alignment horizontal="center"/>
      <protection hidden="1"/>
    </xf>
    <xf numFmtId="0" fontId="95" fillId="29" borderId="48" xfId="52" applyFont="1" applyFill="1" applyBorder="1" applyAlignment="1" applyProtection="1">
      <alignment horizontal="center"/>
      <protection hidden="1"/>
    </xf>
    <xf numFmtId="0" fontId="95" fillId="29" borderId="24" xfId="52" applyFont="1" applyFill="1" applyBorder="1" applyAlignment="1" applyProtection="1">
      <alignment horizontal="center"/>
      <protection hidden="1"/>
    </xf>
    <xf numFmtId="0" fontId="95" fillId="29" borderId="41" xfId="52" applyFont="1" applyFill="1" applyBorder="1" applyAlignment="1" applyProtection="1">
      <alignment horizontal="center"/>
      <protection hidden="1"/>
    </xf>
    <xf numFmtId="0" fontId="95" fillId="29" borderId="37" xfId="52" applyFont="1" applyFill="1" applyBorder="1" applyAlignment="1" applyProtection="1">
      <alignment horizontal="center"/>
      <protection hidden="1"/>
    </xf>
    <xf numFmtId="0" fontId="64" fillId="29" borderId="12" xfId="52" applyFont="1" applyFill="1" applyBorder="1" applyAlignment="1" applyProtection="1">
      <alignment horizontal="center"/>
      <protection hidden="1"/>
    </xf>
    <xf numFmtId="0" fontId="64" fillId="29" borderId="14" xfId="52" applyFont="1" applyFill="1" applyBorder="1" applyAlignment="1" applyProtection="1">
      <alignment horizontal="center"/>
      <protection hidden="1"/>
    </xf>
    <xf numFmtId="0" fontId="185" fillId="29" borderId="12" xfId="52" applyFont="1" applyFill="1" applyBorder="1" applyAlignment="1" applyProtection="1">
      <alignment horizontal="center"/>
      <protection hidden="1"/>
    </xf>
    <xf numFmtId="0" fontId="185" fillId="29" borderId="13" xfId="52" applyFont="1" applyFill="1" applyBorder="1" applyAlignment="1" applyProtection="1">
      <alignment horizontal="center"/>
      <protection hidden="1"/>
    </xf>
    <xf numFmtId="0" fontId="185" fillId="29" borderId="14" xfId="52" applyFont="1" applyFill="1" applyBorder="1" applyAlignment="1" applyProtection="1">
      <alignment horizontal="center"/>
      <protection hidden="1"/>
    </xf>
    <xf numFmtId="0" fontId="95" fillId="29" borderId="0" xfId="52" applyFont="1" applyFill="1" applyAlignment="1">
      <alignment horizontal="left"/>
    </xf>
    <xf numFmtId="14" fontId="65" fillId="29" borderId="20" xfId="52" applyNumberFormat="1" applyFont="1" applyFill="1" applyBorder="1" applyAlignment="1" applyProtection="1">
      <alignment horizontal="center"/>
      <protection hidden="1"/>
    </xf>
    <xf numFmtId="0" fontId="95" fillId="29" borderId="0" xfId="52" applyFont="1" applyFill="1" applyAlignment="1">
      <alignment horizontal="center"/>
    </xf>
    <xf numFmtId="10" fontId="81" fillId="29" borderId="12" xfId="52" applyNumberFormat="1" applyFont="1" applyFill="1" applyBorder="1" applyAlignment="1" applyProtection="1">
      <alignment horizontal="center"/>
      <protection hidden="1"/>
    </xf>
    <xf numFmtId="10" fontId="81" fillId="29" borderId="13" xfId="52" applyNumberFormat="1" applyFont="1" applyFill="1" applyBorder="1" applyAlignment="1" applyProtection="1">
      <alignment horizontal="center"/>
      <protection hidden="1"/>
    </xf>
    <xf numFmtId="10" fontId="81" fillId="29" borderId="14" xfId="52" applyNumberFormat="1" applyFont="1" applyFill="1" applyBorder="1" applyAlignment="1" applyProtection="1">
      <alignment horizontal="center"/>
      <protection hidden="1"/>
    </xf>
    <xf numFmtId="0" fontId="187" fillId="29" borderId="15" xfId="52" applyFont="1" applyFill="1" applyBorder="1" applyAlignment="1" applyProtection="1">
      <alignment horizontal="center"/>
      <protection hidden="1"/>
    </xf>
    <xf numFmtId="0" fontId="187" fillId="29" borderId="16" xfId="52" applyFont="1" applyFill="1" applyBorder="1" applyAlignment="1" applyProtection="1">
      <alignment horizontal="center"/>
      <protection hidden="1"/>
    </xf>
    <xf numFmtId="0" fontId="65" fillId="29" borderId="15" xfId="52" applyFont="1" applyFill="1" applyBorder="1" applyAlignment="1" applyProtection="1">
      <alignment horizontal="center" vertical="center"/>
      <protection hidden="1"/>
    </xf>
    <xf numFmtId="0" fontId="65" fillId="29" borderId="17" xfId="52" applyFont="1" applyFill="1" applyBorder="1" applyAlignment="1" applyProtection="1">
      <alignment horizontal="center" vertical="center"/>
      <protection hidden="1"/>
    </xf>
    <xf numFmtId="0" fontId="65" fillId="29" borderId="28" xfId="52" applyFont="1" applyFill="1" applyBorder="1" applyAlignment="1" applyProtection="1">
      <alignment horizontal="center" vertical="center"/>
      <protection hidden="1"/>
    </xf>
    <xf numFmtId="0" fontId="65" fillId="29" borderId="53" xfId="52" applyFont="1" applyFill="1" applyBorder="1" applyAlignment="1" applyProtection="1">
      <alignment horizontal="center" vertical="center"/>
      <protection hidden="1"/>
    </xf>
    <xf numFmtId="0" fontId="65" fillId="29" borderId="72" xfId="52" applyFont="1" applyFill="1" applyBorder="1" applyAlignment="1" applyProtection="1">
      <alignment horizontal="center" vertical="center"/>
      <protection hidden="1"/>
    </xf>
    <xf numFmtId="0" fontId="65" fillId="29" borderId="79" xfId="52" applyFont="1" applyFill="1" applyBorder="1" applyAlignment="1" applyProtection="1">
      <alignment horizontal="center" vertical="center"/>
      <protection hidden="1"/>
    </xf>
    <xf numFmtId="0" fontId="95" fillId="29" borderId="80" xfId="52" applyFont="1" applyFill="1" applyBorder="1" applyAlignment="1" applyProtection="1">
      <alignment horizontal="center"/>
      <protection hidden="1"/>
    </xf>
    <xf numFmtId="0" fontId="95" fillId="29" borderId="82" xfId="52" applyFont="1" applyFill="1" applyBorder="1" applyAlignment="1" applyProtection="1">
      <alignment horizontal="center"/>
      <protection hidden="1"/>
    </xf>
    <xf numFmtId="0" fontId="64" fillId="29" borderId="13" xfId="52" applyFont="1" applyFill="1" applyBorder="1" applyAlignment="1" applyProtection="1">
      <alignment horizontal="center"/>
      <protection hidden="1"/>
    </xf>
    <xf numFmtId="0" fontId="65" fillId="29" borderId="38" xfId="52" applyFont="1" applyFill="1" applyBorder="1" applyAlignment="1" applyProtection="1">
      <alignment horizontal="center"/>
      <protection hidden="1"/>
    </xf>
    <xf numFmtId="0" fontId="65" fillId="29" borderId="70" xfId="52" applyFont="1" applyFill="1" applyBorder="1" applyAlignment="1" applyProtection="1">
      <alignment horizontal="center"/>
      <protection hidden="1"/>
    </xf>
    <xf numFmtId="0" fontId="26" fillId="36" borderId="15" xfId="52" applyFont="1" applyFill="1" applyBorder="1" applyAlignment="1">
      <alignment horizontal="center" vertical="center"/>
    </xf>
    <xf numFmtId="0" fontId="26" fillId="36" borderId="16" xfId="52" applyFont="1" applyFill="1" applyBorder="1" applyAlignment="1">
      <alignment horizontal="center" vertical="center"/>
    </xf>
    <xf numFmtId="0" fontId="26" fillId="36" borderId="60" xfId="52" applyFont="1" applyFill="1" applyBorder="1" applyAlignment="1">
      <alignment horizontal="center" vertical="center"/>
    </xf>
    <xf numFmtId="0" fontId="50" fillId="31" borderId="12" xfId="52" applyFont="1" applyFill="1" applyBorder="1" applyAlignment="1" applyProtection="1">
      <alignment horizontal="center" vertical="center"/>
      <protection hidden="1"/>
    </xf>
    <xf numFmtId="0" fontId="50" fillId="31" borderId="14" xfId="52" applyFont="1" applyFill="1" applyBorder="1" applyAlignment="1" applyProtection="1">
      <alignment horizontal="center" vertical="center"/>
      <protection hidden="1"/>
    </xf>
    <xf numFmtId="0" fontId="26" fillId="36" borderId="64" xfId="52" applyFont="1" applyFill="1" applyBorder="1" applyAlignment="1" applyProtection="1">
      <alignment horizontal="center" vertical="center"/>
      <protection hidden="1"/>
    </xf>
    <xf numFmtId="0" fontId="26" fillId="36" borderId="65" xfId="52" applyFont="1" applyFill="1" applyBorder="1" applyAlignment="1" applyProtection="1">
      <alignment horizontal="center" vertical="center"/>
      <protection hidden="1"/>
    </xf>
    <xf numFmtId="0" fontId="26" fillId="36" borderId="70" xfId="52" applyFont="1" applyFill="1" applyBorder="1" applyAlignment="1" applyProtection="1">
      <alignment horizontal="center" vertical="center"/>
      <protection hidden="1"/>
    </xf>
    <xf numFmtId="0" fontId="26" fillId="41" borderId="12" xfId="52" applyFont="1" applyFill="1" applyBorder="1" applyAlignment="1">
      <alignment horizontal="center" vertical="center"/>
    </xf>
    <xf numFmtId="0" fontId="26" fillId="41" borderId="13" xfId="52" applyFont="1" applyFill="1" applyBorder="1" applyAlignment="1">
      <alignment horizontal="center" vertical="center"/>
    </xf>
    <xf numFmtId="0" fontId="26" fillId="41" borderId="14" xfId="52" applyFont="1" applyFill="1" applyBorder="1" applyAlignment="1">
      <alignment horizontal="center" vertical="center"/>
    </xf>
    <xf numFmtId="0" fontId="50" fillId="36" borderId="65" xfId="52" applyFont="1" applyFill="1" applyBorder="1" applyAlignment="1" applyProtection="1">
      <alignment horizontal="center" vertical="center"/>
      <protection hidden="1"/>
    </xf>
    <xf numFmtId="0" fontId="50" fillId="36" borderId="70" xfId="52" applyFont="1" applyFill="1" applyBorder="1" applyAlignment="1" applyProtection="1">
      <alignment horizontal="center" vertical="center"/>
      <protection hidden="1"/>
    </xf>
    <xf numFmtId="14" fontId="26" fillId="29" borderId="13" xfId="52" applyNumberFormat="1" applyFont="1" applyFill="1" applyBorder="1" applyAlignment="1">
      <alignment horizontal="center" vertical="center"/>
    </xf>
    <xf numFmtId="14" fontId="26" fillId="29" borderId="14" xfId="52" applyNumberFormat="1" applyFont="1" applyFill="1" applyBorder="1" applyAlignment="1">
      <alignment horizontal="center" vertical="center"/>
    </xf>
    <xf numFmtId="0" fontId="50" fillId="0" borderId="28" xfId="52" applyFont="1" applyBorder="1" applyAlignment="1">
      <alignment horizontal="center" vertical="center"/>
    </xf>
    <xf numFmtId="0" fontId="50" fillId="0" borderId="0" xfId="52" applyFont="1" applyAlignment="1">
      <alignment horizontal="center" vertical="center"/>
    </xf>
    <xf numFmtId="0" fontId="50" fillId="0" borderId="53" xfId="52" applyFont="1" applyBorder="1" applyAlignment="1">
      <alignment horizontal="center" vertical="center"/>
    </xf>
    <xf numFmtId="0" fontId="26" fillId="41" borderId="12" xfId="52" applyFont="1" applyFill="1" applyBorder="1" applyAlignment="1" applyProtection="1">
      <alignment horizontal="center" vertical="center"/>
      <protection hidden="1"/>
    </xf>
    <xf numFmtId="0" fontId="26" fillId="41" borderId="13" xfId="52" applyFont="1" applyFill="1" applyBorder="1" applyAlignment="1" applyProtection="1">
      <alignment horizontal="center" vertical="center"/>
      <protection hidden="1"/>
    </xf>
    <xf numFmtId="0" fontId="26" fillId="41" borderId="14" xfId="52" applyFont="1" applyFill="1" applyBorder="1" applyAlignment="1" applyProtection="1">
      <alignment horizontal="center" vertical="center"/>
      <protection hidden="1"/>
    </xf>
    <xf numFmtId="0" fontId="49" fillId="36" borderId="43" xfId="52" applyFont="1" applyFill="1" applyBorder="1" applyAlignment="1" applyProtection="1">
      <alignment horizontal="center" vertical="center"/>
      <protection hidden="1"/>
    </xf>
    <xf numFmtId="0" fontId="49" fillId="36" borderId="49" xfId="52" applyFont="1" applyFill="1" applyBorder="1" applyAlignment="1" applyProtection="1">
      <alignment horizontal="center" vertical="center"/>
      <protection hidden="1"/>
    </xf>
    <xf numFmtId="0" fontId="46" fillId="31" borderId="12" xfId="52" applyFont="1" applyFill="1" applyBorder="1" applyAlignment="1" applyProtection="1">
      <alignment horizontal="center" vertical="center"/>
      <protection hidden="1"/>
    </xf>
    <xf numFmtId="0" fontId="46" fillId="31" borderId="14" xfId="52" applyFont="1" applyFill="1" applyBorder="1" applyAlignment="1" applyProtection="1">
      <alignment horizontal="center" vertical="center"/>
      <protection hidden="1"/>
    </xf>
    <xf numFmtId="0" fontId="35" fillId="36" borderId="94" xfId="52" applyFill="1" applyBorder="1" applyAlignment="1" applyProtection="1">
      <alignment horizontal="center" vertical="center"/>
      <protection hidden="1"/>
    </xf>
    <xf numFmtId="0" fontId="35" fillId="36" borderId="91" xfId="52" applyFill="1" applyBorder="1" applyAlignment="1" applyProtection="1">
      <alignment horizontal="center" vertical="center"/>
      <protection hidden="1"/>
    </xf>
    <xf numFmtId="0" fontId="90" fillId="36" borderId="101" xfId="52" applyFont="1" applyFill="1" applyBorder="1" applyAlignment="1" applyProtection="1">
      <alignment horizontal="center" vertical="center"/>
      <protection hidden="1"/>
    </xf>
    <xf numFmtId="0" fontId="90" fillId="36" borderId="102" xfId="52" applyFont="1" applyFill="1" applyBorder="1" applyAlignment="1" applyProtection="1">
      <alignment horizontal="center" vertical="center"/>
      <protection hidden="1"/>
    </xf>
    <xf numFmtId="0" fontId="90" fillId="36" borderId="103" xfId="52" applyFont="1" applyFill="1" applyBorder="1" applyAlignment="1" applyProtection="1">
      <alignment horizontal="center" vertical="center"/>
      <protection hidden="1"/>
    </xf>
    <xf numFmtId="2" fontId="180" fillId="31" borderId="12" xfId="52" applyNumberFormat="1" applyFont="1" applyFill="1" applyBorder="1" applyAlignment="1" applyProtection="1">
      <alignment horizontal="center" vertical="center"/>
      <protection hidden="1"/>
    </xf>
    <xf numFmtId="0" fontId="180" fillId="31" borderId="14" xfId="52" applyFont="1" applyFill="1" applyBorder="1" applyAlignment="1" applyProtection="1">
      <alignment horizontal="center" vertical="center"/>
      <protection hidden="1"/>
    </xf>
    <xf numFmtId="0" fontId="38" fillId="0" borderId="68" xfId="59" applyFont="1" applyBorder="1" applyAlignment="1" applyProtection="1">
      <alignment horizontal="center" vertical="center"/>
      <protection hidden="1"/>
    </xf>
    <xf numFmtId="0" fontId="38" fillId="0" borderId="67" xfId="59" applyFont="1" applyBorder="1" applyAlignment="1" applyProtection="1">
      <alignment horizontal="center" vertical="center"/>
      <protection hidden="1"/>
    </xf>
    <xf numFmtId="0" fontId="55" fillId="36" borderId="12" xfId="54" applyFont="1" applyFill="1" applyBorder="1" applyAlignment="1" applyProtection="1">
      <alignment horizontal="center" vertical="center"/>
      <protection hidden="1"/>
    </xf>
    <xf numFmtId="0" fontId="55" fillId="36" borderId="14" xfId="54" applyFont="1" applyFill="1" applyBorder="1" applyAlignment="1" applyProtection="1">
      <alignment horizontal="center" vertical="center"/>
      <protection hidden="1"/>
    </xf>
    <xf numFmtId="0" fontId="26" fillId="36" borderId="12" xfId="54" applyFont="1" applyFill="1" applyBorder="1" applyAlignment="1" applyProtection="1">
      <alignment horizontal="center" vertical="center"/>
      <protection hidden="1"/>
    </xf>
    <xf numFmtId="0" fontId="26" fillId="36" borderId="14" xfId="54" applyFont="1" applyFill="1" applyBorder="1" applyAlignment="1" applyProtection="1">
      <alignment horizontal="center" vertical="center"/>
      <protection hidden="1"/>
    </xf>
    <xf numFmtId="4" fontId="173" fillId="36" borderId="12" xfId="54" applyNumberFormat="1" applyFont="1" applyFill="1" applyBorder="1" applyAlignment="1" applyProtection="1">
      <alignment horizontal="center" vertical="center"/>
      <protection hidden="1"/>
    </xf>
    <xf numFmtId="4" fontId="173" fillId="36" borderId="14" xfId="54" applyNumberFormat="1" applyFont="1" applyFill="1" applyBorder="1" applyAlignment="1" applyProtection="1">
      <alignment horizontal="center" vertical="center"/>
      <protection hidden="1"/>
    </xf>
    <xf numFmtId="0" fontId="50" fillId="0" borderId="16" xfId="54" applyFont="1" applyBorder="1" applyAlignment="1">
      <alignment horizontal="left" vertical="center"/>
    </xf>
    <xf numFmtId="0" fontId="16" fillId="0" borderId="0" xfId="54" applyFont="1" applyAlignment="1" applyProtection="1">
      <alignment horizontal="right" vertical="center"/>
      <protection hidden="1"/>
    </xf>
    <xf numFmtId="0" fontId="35" fillId="31" borderId="12" xfId="59" applyFill="1" applyBorder="1" applyAlignment="1" applyProtection="1">
      <alignment horizontal="center" vertical="center"/>
      <protection hidden="1"/>
    </xf>
    <xf numFmtId="0" fontId="35" fillId="31" borderId="14" xfId="59" applyFill="1" applyBorder="1" applyAlignment="1" applyProtection="1">
      <alignment horizontal="center" vertical="center"/>
      <protection hidden="1"/>
    </xf>
    <xf numFmtId="0" fontId="16" fillId="31" borderId="13" xfId="59" applyFont="1" applyFill="1" applyBorder="1" applyAlignment="1" applyProtection="1">
      <alignment horizontal="center" vertical="center"/>
      <protection hidden="1"/>
    </xf>
    <xf numFmtId="0" fontId="16" fillId="31" borderId="14" xfId="59" applyFont="1" applyFill="1" applyBorder="1" applyAlignment="1" applyProtection="1">
      <alignment horizontal="center" vertical="center"/>
      <protection hidden="1"/>
    </xf>
    <xf numFmtId="0" fontId="26" fillId="31" borderId="12" xfId="59" applyFont="1" applyFill="1" applyBorder="1" applyAlignment="1">
      <alignment horizontal="center" vertical="center"/>
    </xf>
    <xf numFmtId="0" fontId="26" fillId="31" borderId="14" xfId="59" applyFont="1" applyFill="1" applyBorder="1" applyAlignment="1">
      <alignment horizontal="center" vertical="center"/>
    </xf>
    <xf numFmtId="171" fontId="26" fillId="31" borderId="12" xfId="59" applyNumberFormat="1" applyFont="1" applyFill="1" applyBorder="1" applyAlignment="1" applyProtection="1">
      <alignment horizontal="center" vertical="center"/>
      <protection locked="0" hidden="1"/>
    </xf>
    <xf numFmtId="171" fontId="26" fillId="31" borderId="14" xfId="59" applyNumberFormat="1" applyFont="1" applyFill="1" applyBorder="1" applyAlignment="1" applyProtection="1">
      <alignment horizontal="center" vertical="center"/>
      <protection locked="0" hidden="1"/>
    </xf>
    <xf numFmtId="0" fontId="42" fillId="31" borderId="12" xfId="59" applyFont="1" applyFill="1" applyBorder="1" applyAlignment="1">
      <alignment horizontal="center" vertical="center"/>
    </xf>
    <xf numFmtId="0" fontId="42" fillId="31" borderId="13" xfId="59" applyFont="1" applyFill="1" applyBorder="1" applyAlignment="1">
      <alignment horizontal="center" vertical="center"/>
    </xf>
    <xf numFmtId="0" fontId="42" fillId="31" borderId="14" xfId="59" applyFont="1" applyFill="1" applyBorder="1" applyAlignment="1">
      <alignment horizontal="center" vertical="center"/>
    </xf>
    <xf numFmtId="0" fontId="16" fillId="0" borderId="0" xfId="59" applyFont="1" applyAlignment="1" applyProtection="1">
      <alignment horizontal="right" vertical="center"/>
      <protection hidden="1"/>
    </xf>
    <xf numFmtId="2" fontId="26" fillId="29" borderId="12" xfId="59" applyNumberFormat="1" applyFont="1" applyFill="1" applyBorder="1" applyAlignment="1" applyProtection="1">
      <alignment horizontal="center" vertical="center"/>
      <protection locked="0"/>
    </xf>
    <xf numFmtId="2" fontId="26" fillId="29" borderId="13" xfId="59" applyNumberFormat="1" applyFont="1" applyFill="1" applyBorder="1" applyAlignment="1" applyProtection="1">
      <alignment horizontal="center" vertical="center"/>
      <protection locked="0"/>
    </xf>
    <xf numFmtId="2" fontId="26" fillId="29" borderId="14" xfId="59" applyNumberFormat="1" applyFont="1" applyFill="1" applyBorder="1" applyAlignment="1" applyProtection="1">
      <alignment horizontal="center" vertical="center"/>
      <protection locked="0"/>
    </xf>
    <xf numFmtId="0" fontId="26" fillId="0" borderId="28" xfId="59" applyFont="1" applyBorder="1" applyAlignment="1">
      <alignment horizontal="center" vertical="center"/>
    </xf>
    <xf numFmtId="0" fontId="26" fillId="0" borderId="0" xfId="59" applyFont="1" applyAlignment="1">
      <alignment horizontal="center" vertical="center"/>
    </xf>
    <xf numFmtId="0" fontId="26" fillId="0" borderId="53" xfId="59" applyFont="1" applyBorder="1" applyAlignment="1">
      <alignment horizontal="center" vertical="center"/>
    </xf>
    <xf numFmtId="2" fontId="26" fillId="0" borderId="72" xfId="59" applyNumberFormat="1" applyFont="1" applyBorder="1" applyAlignment="1" applyProtection="1">
      <alignment horizontal="center" vertical="center"/>
      <protection locked="0"/>
    </xf>
    <xf numFmtId="0" fontId="26" fillId="0" borderId="71" xfId="59" applyFont="1" applyBorder="1" applyAlignment="1" applyProtection="1">
      <alignment horizontal="center" vertical="center"/>
      <protection locked="0"/>
    </xf>
    <xf numFmtId="0" fontId="26" fillId="0" borderId="79" xfId="59" applyFont="1" applyBorder="1" applyAlignment="1" applyProtection="1">
      <alignment horizontal="center" vertical="center"/>
      <protection locked="0"/>
    </xf>
    <xf numFmtId="171" fontId="26" fillId="36" borderId="83" xfId="59" applyNumberFormat="1" applyFont="1" applyFill="1" applyBorder="1" applyAlignment="1">
      <alignment horizontal="center" vertical="center"/>
    </xf>
    <xf numFmtId="171" fontId="26" fillId="36" borderId="85" xfId="59" applyNumberFormat="1" applyFont="1" applyFill="1" applyBorder="1" applyAlignment="1">
      <alignment horizontal="center" vertical="center"/>
    </xf>
    <xf numFmtId="0" fontId="26" fillId="0" borderId="28" xfId="59" applyFont="1" applyBorder="1" applyAlignment="1">
      <alignment horizontal="left" vertical="center"/>
    </xf>
    <xf numFmtId="0" fontId="26" fillId="0" borderId="0" xfId="59" applyFont="1" applyAlignment="1">
      <alignment horizontal="left" vertical="center"/>
    </xf>
    <xf numFmtId="0" fontId="26" fillId="0" borderId="53" xfId="59" applyFont="1" applyBorder="1" applyAlignment="1">
      <alignment horizontal="left" vertical="center"/>
    </xf>
    <xf numFmtId="14" fontId="42" fillId="0" borderId="0" xfId="59" applyNumberFormat="1" applyFont="1" applyAlignment="1">
      <alignment horizontal="right" vertical="center"/>
    </xf>
    <xf numFmtId="14" fontId="42" fillId="0" borderId="53" xfId="59" applyNumberFormat="1" applyFont="1" applyBorder="1" applyAlignment="1">
      <alignment horizontal="right" vertical="center"/>
    </xf>
    <xf numFmtId="0" fontId="26" fillId="0" borderId="28" xfId="59" applyFont="1" applyBorder="1" applyAlignment="1">
      <alignment horizontal="right" vertical="center"/>
    </xf>
    <xf numFmtId="0" fontId="26" fillId="0" borderId="0" xfId="59" applyFont="1" applyAlignment="1">
      <alignment horizontal="right" vertical="center"/>
    </xf>
    <xf numFmtId="0" fontId="26" fillId="0" borderId="53" xfId="59" applyFont="1" applyBorder="1" applyAlignment="1">
      <alignment horizontal="right" vertical="center"/>
    </xf>
    <xf numFmtId="0" fontId="26" fillId="0" borderId="33" xfId="59" applyFont="1" applyBorder="1" applyAlignment="1">
      <alignment horizontal="center" vertical="center"/>
    </xf>
    <xf numFmtId="0" fontId="26" fillId="0" borderId="11" xfId="59" applyFont="1" applyBorder="1" applyAlignment="1">
      <alignment horizontal="center" vertical="center"/>
    </xf>
    <xf numFmtId="0" fontId="26" fillId="0" borderId="58" xfId="59" applyFont="1" applyBorder="1" applyAlignment="1">
      <alignment horizontal="center" vertical="center"/>
    </xf>
    <xf numFmtId="0" fontId="26" fillId="36" borderId="86" xfId="59" applyFont="1" applyFill="1" applyBorder="1" applyAlignment="1">
      <alignment horizontal="center" vertical="center"/>
    </xf>
    <xf numFmtId="0" fontId="26" fillId="36" borderId="87" xfId="59" applyFont="1" applyFill="1" applyBorder="1" applyAlignment="1">
      <alignment horizontal="center" vertical="center"/>
    </xf>
    <xf numFmtId="0" fontId="35" fillId="0" borderId="0" xfId="59" applyAlignment="1">
      <alignment horizontal="center" vertical="center"/>
    </xf>
    <xf numFmtId="0" fontId="35" fillId="0" borderId="53" xfId="59" applyBorder="1" applyAlignment="1">
      <alignment horizontal="center" vertical="center"/>
    </xf>
    <xf numFmtId="2" fontId="16" fillId="0" borderId="68" xfId="59" applyNumberFormat="1" applyFont="1" applyBorder="1" applyAlignment="1" applyProtection="1">
      <alignment horizontal="center" vertical="center"/>
      <protection hidden="1"/>
    </xf>
    <xf numFmtId="2" fontId="16" fillId="0" borderId="55" xfId="59" applyNumberFormat="1" applyFont="1" applyBorder="1" applyAlignment="1" applyProtection="1">
      <alignment horizontal="center" vertical="center"/>
      <protection hidden="1"/>
    </xf>
    <xf numFmtId="0" fontId="50" fillId="0" borderId="55" xfId="59" applyFont="1" applyBorder="1" applyAlignment="1">
      <alignment horizontal="center" vertical="center"/>
    </xf>
    <xf numFmtId="0" fontId="50" fillId="0" borderId="63" xfId="59" applyFont="1" applyBorder="1" applyAlignment="1">
      <alignment horizontal="center" vertical="center"/>
    </xf>
    <xf numFmtId="0" fontId="50" fillId="0" borderId="0" xfId="59" applyFont="1" applyAlignment="1">
      <alignment horizontal="left" vertical="center"/>
    </xf>
    <xf numFmtId="0" fontId="16" fillId="0" borderId="0" xfId="59" applyFont="1" applyAlignment="1">
      <alignment horizontal="right" vertical="center"/>
    </xf>
    <xf numFmtId="0" fontId="50" fillId="0" borderId="12" xfId="59" applyFont="1" applyBorder="1" applyAlignment="1" applyProtection="1">
      <alignment horizontal="center" vertical="center"/>
      <protection hidden="1"/>
    </xf>
    <xf numFmtId="0" fontId="50" fillId="0" borderId="13" xfId="59" applyFont="1" applyBorder="1" applyAlignment="1" applyProtection="1">
      <alignment horizontal="center" vertical="center"/>
      <protection hidden="1"/>
    </xf>
    <xf numFmtId="0" fontId="50" fillId="0" borderId="14" xfId="59" applyFont="1" applyBorder="1" applyAlignment="1" applyProtection="1">
      <alignment horizontal="center" vertical="center"/>
      <protection hidden="1"/>
    </xf>
    <xf numFmtId="0" fontId="50" fillId="0" borderId="12" xfId="59" applyFont="1" applyBorder="1" applyAlignment="1" applyProtection="1">
      <alignment horizontal="center" vertical="center"/>
      <protection locked="0" hidden="1"/>
    </xf>
    <xf numFmtId="0" fontId="50" fillId="0" borderId="13" xfId="59" applyFont="1" applyBorder="1" applyAlignment="1" applyProtection="1">
      <alignment horizontal="center" vertical="center"/>
      <protection locked="0" hidden="1"/>
    </xf>
    <xf numFmtId="0" fontId="50" fillId="0" borderId="14" xfId="59" applyFont="1" applyBorder="1" applyAlignment="1" applyProtection="1">
      <alignment horizontal="center" vertical="center"/>
      <protection locked="0" hidden="1"/>
    </xf>
    <xf numFmtId="0" fontId="139" fillId="29" borderId="27" xfId="0" applyFont="1" applyFill="1" applyBorder="1" applyAlignment="1" applyProtection="1">
      <alignment horizontal="center" vertical="center"/>
      <protection locked="0"/>
    </xf>
    <xf numFmtId="0" fontId="50" fillId="34" borderId="12" xfId="59" applyFont="1" applyFill="1" applyBorder="1" applyAlignment="1">
      <alignment horizontal="center" vertical="center"/>
    </xf>
    <xf numFmtId="0" fontId="50" fillId="34" borderId="13" xfId="59" applyFont="1" applyFill="1" applyBorder="1" applyAlignment="1">
      <alignment horizontal="center" vertical="center"/>
    </xf>
    <xf numFmtId="0" fontId="50" fillId="34" borderId="14" xfId="59" applyFont="1" applyFill="1" applyBorder="1" applyAlignment="1">
      <alignment horizontal="center" vertical="center"/>
    </xf>
    <xf numFmtId="0" fontId="35" fillId="0" borderId="16" xfId="59" applyBorder="1" applyAlignment="1">
      <alignment horizontal="center" vertical="center"/>
    </xf>
    <xf numFmtId="0" fontId="35" fillId="0" borderId="17" xfId="59" applyBorder="1" applyAlignment="1">
      <alignment horizontal="center" vertical="center"/>
    </xf>
    <xf numFmtId="0" fontId="90" fillId="29" borderId="18" xfId="0" applyFont="1" applyFill="1" applyBorder="1" applyAlignment="1" applyProtection="1">
      <alignment horizontal="center" vertical="center"/>
      <protection hidden="1"/>
    </xf>
    <xf numFmtId="0" fontId="139" fillId="29" borderId="18" xfId="0" applyFont="1" applyFill="1" applyBorder="1" applyAlignment="1" applyProtection="1">
      <alignment horizontal="center" vertical="center"/>
      <protection locked="0"/>
    </xf>
    <xf numFmtId="0" fontId="139" fillId="29" borderId="54" xfId="0" applyFont="1" applyFill="1" applyBorder="1" applyAlignment="1" applyProtection="1">
      <alignment horizontal="center" vertical="center"/>
      <protection locked="0"/>
    </xf>
    <xf numFmtId="0" fontId="35" fillId="29" borderId="19" xfId="0" applyFont="1" applyFill="1" applyBorder="1" applyAlignment="1" applyProtection="1">
      <alignment horizontal="center" vertical="center"/>
      <protection locked="0"/>
    </xf>
    <xf numFmtId="0" fontId="35" fillId="29" borderId="62" xfId="0" applyFont="1" applyFill="1" applyBorder="1" applyAlignment="1" applyProtection="1">
      <alignment horizontal="center" vertical="center"/>
      <protection locked="0"/>
    </xf>
    <xf numFmtId="0" fontId="139" fillId="29" borderId="91" xfId="0" applyFont="1" applyFill="1" applyBorder="1" applyAlignment="1" applyProtection="1">
      <alignment horizontal="center" vertical="center"/>
      <protection locked="0"/>
    </xf>
    <xf numFmtId="0" fontId="139" fillId="29" borderId="98" xfId="0" applyFont="1" applyFill="1" applyBorder="1" applyAlignment="1" applyProtection="1">
      <alignment horizontal="center" vertical="center"/>
      <protection locked="0"/>
    </xf>
    <xf numFmtId="0" fontId="35" fillId="34" borderId="76" xfId="0" applyFont="1" applyFill="1" applyBorder="1" applyAlignment="1">
      <alignment horizontal="center" vertical="center"/>
    </xf>
    <xf numFmtId="0" fontId="35" fillId="34" borderId="77" xfId="0" applyFont="1" applyFill="1" applyBorder="1" applyAlignment="1">
      <alignment horizontal="center" vertical="center"/>
    </xf>
    <xf numFmtId="0" fontId="90" fillId="29" borderId="91" xfId="0" applyFont="1" applyFill="1" applyBorder="1" applyAlignment="1" applyProtection="1">
      <alignment horizontal="center" vertical="center"/>
      <protection locked="0"/>
    </xf>
    <xf numFmtId="0" fontId="90" fillId="29" borderId="92" xfId="0" applyFont="1" applyFill="1" applyBorder="1" applyAlignment="1" applyProtection="1">
      <alignment horizontal="center" vertical="center"/>
      <protection locked="0"/>
    </xf>
    <xf numFmtId="0" fontId="90" fillId="29" borderId="98" xfId="0" applyFont="1" applyFill="1" applyBorder="1" applyAlignment="1" applyProtection="1">
      <alignment horizontal="center" vertical="center"/>
      <protection locked="0"/>
    </xf>
    <xf numFmtId="0" fontId="90" fillId="29" borderId="96" xfId="0" applyFont="1" applyFill="1" applyBorder="1" applyAlignment="1" applyProtection="1">
      <alignment horizontal="center" vertical="center"/>
      <protection locked="0"/>
    </xf>
    <xf numFmtId="0" fontId="35" fillId="34" borderId="79" xfId="0" applyFont="1" applyFill="1" applyBorder="1" applyAlignment="1">
      <alignment horizontal="center" vertical="center"/>
    </xf>
    <xf numFmtId="0" fontId="35" fillId="34" borderId="84" xfId="0" applyFont="1" applyFill="1" applyBorder="1" applyAlignment="1">
      <alignment horizontal="center" vertical="center"/>
    </xf>
    <xf numFmtId="0" fontId="16" fillId="34" borderId="59" xfId="0" applyFont="1" applyFill="1" applyBorder="1" applyAlignment="1">
      <alignment horizontal="center" vertical="center"/>
    </xf>
    <xf numFmtId="0" fontId="16" fillId="34" borderId="47" xfId="0" applyFont="1" applyFill="1" applyBorder="1" applyAlignment="1">
      <alignment horizontal="center" vertical="center"/>
    </xf>
    <xf numFmtId="0" fontId="16" fillId="34" borderId="15" xfId="0" applyFont="1" applyFill="1" applyBorder="1" applyAlignment="1">
      <alignment horizontal="center" vertical="center"/>
    </xf>
    <xf numFmtId="0" fontId="16" fillId="34" borderId="16" xfId="0" applyFont="1" applyFill="1" applyBorder="1" applyAlignment="1">
      <alignment horizontal="center" vertical="center"/>
    </xf>
    <xf numFmtId="0" fontId="90" fillId="29" borderId="35" xfId="0" applyFont="1" applyFill="1" applyBorder="1" applyAlignment="1" applyProtection="1">
      <alignment horizontal="center" vertical="center"/>
      <protection locked="0"/>
    </xf>
    <xf numFmtId="0" fontId="90" fillId="29" borderId="49" xfId="0" applyFont="1" applyFill="1" applyBorder="1" applyAlignment="1" applyProtection="1">
      <alignment horizontal="center" vertical="center"/>
      <protection locked="0"/>
    </xf>
    <xf numFmtId="0" fontId="50" fillId="29" borderId="61" xfId="0" applyFont="1" applyFill="1" applyBorder="1" applyAlignment="1">
      <alignment horizontal="center" vertical="center"/>
    </xf>
    <xf numFmtId="0" fontId="50" fillId="29" borderId="27" xfId="0" applyFont="1" applyFill="1" applyBorder="1" applyAlignment="1">
      <alignment horizontal="center" vertical="center"/>
    </xf>
    <xf numFmtId="0" fontId="50" fillId="29" borderId="62" xfId="0" applyFont="1" applyFill="1" applyBorder="1" applyAlignment="1">
      <alignment horizontal="center" vertical="center"/>
    </xf>
    <xf numFmtId="2" fontId="35" fillId="0" borderId="72" xfId="0" applyNumberFormat="1" applyFont="1" applyBorder="1" applyAlignment="1" applyProtection="1">
      <alignment horizontal="center" vertical="center"/>
      <protection locked="0"/>
    </xf>
    <xf numFmtId="2" fontId="35" fillId="0" borderId="71" xfId="0" applyNumberFormat="1" applyFont="1" applyBorder="1" applyAlignment="1" applyProtection="1">
      <alignment horizontal="center" vertical="center"/>
      <protection locked="0"/>
    </xf>
    <xf numFmtId="2" fontId="35" fillId="0" borderId="72" xfId="0" applyNumberFormat="1" applyFont="1" applyBorder="1" applyAlignment="1" applyProtection="1">
      <alignment horizontal="center" vertical="center"/>
      <protection locked="0" hidden="1"/>
    </xf>
    <xf numFmtId="2" fontId="35" fillId="0" borderId="71" xfId="0" applyNumberFormat="1" applyFont="1" applyBorder="1" applyAlignment="1" applyProtection="1">
      <alignment horizontal="center" vertical="center"/>
      <protection locked="0" hidden="1"/>
    </xf>
    <xf numFmtId="0" fontId="35" fillId="34" borderId="40" xfId="0" applyFont="1" applyFill="1" applyBorder="1" applyAlignment="1">
      <alignment horizontal="center" vertical="center"/>
    </xf>
    <xf numFmtId="0" fontId="35" fillId="29" borderId="20" xfId="0" applyFont="1" applyFill="1" applyBorder="1" applyAlignment="1" applyProtection="1">
      <alignment horizontal="center" vertical="center"/>
      <protection locked="0"/>
    </xf>
    <xf numFmtId="0" fontId="35" fillId="29" borderId="58" xfId="0" applyFont="1" applyFill="1" applyBorder="1" applyAlignment="1" applyProtection="1">
      <alignment horizontal="center" vertical="center"/>
      <protection locked="0"/>
    </xf>
    <xf numFmtId="0" fontId="40" fillId="29" borderId="20" xfId="0" applyFont="1" applyFill="1" applyBorder="1" applyAlignment="1" applyProtection="1">
      <alignment horizontal="center" vertical="center"/>
      <protection locked="0"/>
    </xf>
    <xf numFmtId="0" fontId="40" fillId="29" borderId="29" xfId="0" applyFont="1" applyFill="1" applyBorder="1" applyAlignment="1" applyProtection="1">
      <alignment horizontal="center" vertical="center"/>
      <protection locked="0"/>
    </xf>
    <xf numFmtId="0" fontId="16" fillId="29" borderId="19" xfId="0" applyFont="1" applyFill="1" applyBorder="1" applyAlignment="1" applyProtection="1">
      <alignment horizontal="center" vertical="center"/>
      <protection locked="0"/>
    </xf>
    <xf numFmtId="0" fontId="16" fillId="29" borderId="62" xfId="0" applyFont="1" applyFill="1" applyBorder="1" applyAlignment="1" applyProtection="1">
      <alignment horizontal="center" vertical="center"/>
      <protection locked="0"/>
    </xf>
    <xf numFmtId="0" fontId="35" fillId="29" borderId="28" xfId="0" applyFont="1" applyFill="1" applyBorder="1" applyAlignment="1" applyProtection="1">
      <alignment horizontal="center" vertical="center"/>
      <protection locked="0"/>
    </xf>
    <xf numFmtId="0" fontId="0" fillId="29" borderId="53" xfId="0" applyFill="1" applyBorder="1" applyAlignment="1" applyProtection="1">
      <alignment horizontal="center" vertical="center"/>
      <protection locked="0"/>
    </xf>
    <xf numFmtId="0" fontId="26" fillId="0" borderId="72" xfId="59" applyFont="1" applyBorder="1" applyAlignment="1" applyProtection="1">
      <alignment horizontal="center" vertical="center"/>
      <protection hidden="1"/>
    </xf>
    <xf numFmtId="0" fontId="26" fillId="0" borderId="71" xfId="59" applyFont="1" applyBorder="1" applyAlignment="1" applyProtection="1">
      <alignment horizontal="center" vertical="center"/>
      <protection hidden="1"/>
    </xf>
    <xf numFmtId="0" fontId="26" fillId="0" borderId="79" xfId="59" applyFont="1" applyBorder="1" applyAlignment="1" applyProtection="1">
      <alignment horizontal="center" vertical="center"/>
      <protection hidden="1"/>
    </xf>
    <xf numFmtId="0" fontId="50" fillId="0" borderId="0" xfId="59" applyFont="1" applyAlignment="1" applyProtection="1">
      <alignment horizontal="right" vertical="center"/>
      <protection hidden="1"/>
    </xf>
    <xf numFmtId="2" fontId="45" fillId="0" borderId="28" xfId="59" applyNumberFormat="1" applyFont="1" applyBorder="1" applyAlignment="1" applyProtection="1">
      <alignment horizontal="center" vertical="center"/>
      <protection hidden="1"/>
    </xf>
    <xf numFmtId="2" fontId="45" fillId="0" borderId="0" xfId="59" applyNumberFormat="1" applyFont="1" applyAlignment="1" applyProtection="1">
      <alignment horizontal="center" vertical="center"/>
      <protection hidden="1"/>
    </xf>
    <xf numFmtId="0" fontId="26" fillId="36" borderId="33" xfId="59" applyFont="1" applyFill="1" applyBorder="1" applyAlignment="1">
      <alignment horizontal="center" vertical="center"/>
    </xf>
    <xf numFmtId="0" fontId="26" fillId="36" borderId="29" xfId="59" applyFont="1" applyFill="1" applyBorder="1" applyAlignment="1">
      <alignment horizontal="center" vertical="center"/>
    </xf>
    <xf numFmtId="171" fontId="26" fillId="36" borderId="20" xfId="59" applyNumberFormat="1" applyFont="1" applyFill="1" applyBorder="1" applyAlignment="1">
      <alignment horizontal="center" vertical="center"/>
    </xf>
    <xf numFmtId="171" fontId="26" fillId="36" borderId="58" xfId="59" applyNumberFormat="1" applyFont="1" applyFill="1" applyBorder="1" applyAlignment="1">
      <alignment horizontal="center" vertical="center"/>
    </xf>
    <xf numFmtId="2" fontId="26" fillId="31" borderId="12" xfId="59" applyNumberFormat="1" applyFont="1" applyFill="1" applyBorder="1" applyAlignment="1">
      <alignment horizontal="center" vertical="center"/>
    </xf>
    <xf numFmtId="2" fontId="50" fillId="31" borderId="12" xfId="59" applyNumberFormat="1" applyFont="1" applyFill="1" applyBorder="1" applyAlignment="1" applyProtection="1">
      <alignment horizontal="center" vertical="center"/>
      <protection hidden="1"/>
    </xf>
    <xf numFmtId="2" fontId="50" fillId="31" borderId="13" xfId="59" applyNumberFormat="1" applyFont="1" applyFill="1" applyBorder="1" applyAlignment="1" applyProtection="1">
      <alignment horizontal="center" vertical="center"/>
      <protection hidden="1"/>
    </xf>
    <xf numFmtId="0" fontId="16" fillId="29" borderId="12" xfId="59" applyFont="1" applyFill="1" applyBorder="1" applyAlignment="1">
      <alignment horizontal="center" vertical="center"/>
    </xf>
    <xf numFmtId="0" fontId="16" fillId="29" borderId="13" xfId="59" applyFont="1" applyFill="1" applyBorder="1" applyAlignment="1">
      <alignment horizontal="center" vertical="center"/>
    </xf>
    <xf numFmtId="0" fontId="16" fillId="29" borderId="14" xfId="59" applyFont="1" applyFill="1" applyBorder="1" applyAlignment="1">
      <alignment horizontal="center" vertical="center"/>
    </xf>
    <xf numFmtId="0" fontId="16" fillId="36" borderId="12" xfId="87" applyFont="1" applyFill="1" applyBorder="1" applyAlignment="1" applyProtection="1">
      <alignment horizontal="center" vertical="center"/>
      <protection hidden="1"/>
    </xf>
    <xf numFmtId="0" fontId="16" fillId="36" borderId="14" xfId="87" applyFont="1" applyFill="1" applyBorder="1" applyAlignment="1" applyProtection="1">
      <alignment horizontal="center" vertical="center"/>
      <protection hidden="1"/>
    </xf>
    <xf numFmtId="0" fontId="16" fillId="36" borderId="13" xfId="87" applyFont="1" applyFill="1" applyBorder="1" applyAlignment="1" applyProtection="1">
      <alignment horizontal="center" vertical="center"/>
      <protection hidden="1"/>
    </xf>
    <xf numFmtId="0" fontId="16" fillId="0" borderId="0" xfId="87" applyFont="1" applyAlignment="1" applyProtection="1">
      <alignment horizontal="right" vertical="center"/>
      <protection hidden="1"/>
    </xf>
    <xf numFmtId="0" fontId="16" fillId="0" borderId="0" xfId="87" applyFont="1" applyAlignment="1">
      <alignment horizontal="left" vertical="center"/>
    </xf>
    <xf numFmtId="0" fontId="50" fillId="0" borderId="33" xfId="87" applyFont="1" applyBorder="1" applyAlignment="1" applyProtection="1">
      <alignment horizontal="center" vertical="center"/>
      <protection locked="0"/>
    </xf>
    <xf numFmtId="0" fontId="50" fillId="0" borderId="58" xfId="87" applyFont="1" applyBorder="1" applyAlignment="1" applyProtection="1">
      <alignment horizontal="center" vertical="center"/>
      <protection locked="0"/>
    </xf>
    <xf numFmtId="0" fontId="50" fillId="0" borderId="68" xfId="87" applyFont="1" applyBorder="1" applyAlignment="1" applyProtection="1">
      <alignment horizontal="center" vertical="center"/>
      <protection locked="0"/>
    </xf>
    <xf numFmtId="0" fontId="50" fillId="0" borderId="63" xfId="87" applyFont="1" applyBorder="1" applyAlignment="1" applyProtection="1">
      <alignment horizontal="center" vertical="center"/>
      <protection locked="0"/>
    </xf>
    <xf numFmtId="0" fontId="50" fillId="0" borderId="0" xfId="87" applyFont="1" applyAlignment="1" applyProtection="1">
      <alignment horizontal="left" vertical="center"/>
      <protection locked="0"/>
    </xf>
    <xf numFmtId="0" fontId="50" fillId="0" borderId="0" xfId="87" applyFont="1" applyAlignment="1">
      <alignment horizontal="right" vertical="center"/>
    </xf>
    <xf numFmtId="0" fontId="35" fillId="0" borderId="12" xfId="87" applyFont="1" applyBorder="1" applyAlignment="1">
      <alignment horizontal="center" vertical="center"/>
    </xf>
    <xf numFmtId="0" fontId="35" fillId="0" borderId="14" xfId="87" applyFont="1" applyBorder="1" applyAlignment="1">
      <alignment horizontal="center" vertical="center"/>
    </xf>
    <xf numFmtId="0" fontId="140" fillId="0" borderId="12" xfId="87" applyBorder="1" applyAlignment="1">
      <alignment horizontal="center" vertical="center"/>
    </xf>
    <xf numFmtId="0" fontId="140" fillId="0" borderId="14" xfId="87" applyBorder="1" applyAlignment="1">
      <alignment horizontal="center" vertical="center"/>
    </xf>
    <xf numFmtId="0" fontId="35" fillId="36" borderId="12" xfId="87" applyFont="1" applyFill="1" applyBorder="1" applyAlignment="1">
      <alignment horizontal="center" vertical="center"/>
    </xf>
    <xf numFmtId="0" fontId="140" fillId="36" borderId="13" xfId="87" applyFill="1" applyBorder="1" applyAlignment="1">
      <alignment horizontal="center" vertical="center"/>
    </xf>
    <xf numFmtId="0" fontId="140" fillId="36" borderId="14" xfId="87" applyFill="1" applyBorder="1" applyAlignment="1">
      <alignment horizontal="center" vertical="center"/>
    </xf>
    <xf numFmtId="0" fontId="140" fillId="0" borderId="38" xfId="87" applyBorder="1" applyAlignment="1" applyProtection="1">
      <alignment horizontal="center" vertical="center"/>
      <protection locked="0" hidden="1"/>
    </xf>
    <xf numFmtId="0" fontId="140" fillId="0" borderId="65" xfId="87" applyBorder="1" applyAlignment="1" applyProtection="1">
      <alignment horizontal="center" vertical="center"/>
      <protection locked="0" hidden="1"/>
    </xf>
    <xf numFmtId="0" fontId="140" fillId="0" borderId="66" xfId="87" applyBorder="1" applyAlignment="1" applyProtection="1">
      <alignment horizontal="center" vertical="center"/>
      <protection locked="0" hidden="1"/>
    </xf>
    <xf numFmtId="0" fontId="35" fillId="0" borderId="20" xfId="87" applyFont="1" applyBorder="1" applyAlignment="1" applyProtection="1">
      <alignment horizontal="center" vertical="center"/>
      <protection locked="0"/>
    </xf>
    <xf numFmtId="0" fontId="35" fillId="0" borderId="11" xfId="87" applyFont="1" applyBorder="1" applyAlignment="1" applyProtection="1">
      <alignment horizontal="center" vertical="center"/>
      <protection locked="0"/>
    </xf>
    <xf numFmtId="0" fontId="35" fillId="0" borderId="58" xfId="87" applyFont="1" applyBorder="1" applyAlignment="1" applyProtection="1">
      <alignment horizontal="center" vertical="center"/>
      <protection locked="0"/>
    </xf>
    <xf numFmtId="0" fontId="57" fillId="0" borderId="39" xfId="30" applyBorder="1" applyAlignment="1" applyProtection="1">
      <alignment horizontal="center" vertical="center"/>
      <protection hidden="1"/>
    </xf>
    <xf numFmtId="0" fontId="57" fillId="0" borderId="55" xfId="30" applyBorder="1" applyAlignment="1" applyProtection="1">
      <alignment horizontal="center" vertical="center"/>
      <protection hidden="1"/>
    </xf>
    <xf numFmtId="0" fontId="57" fillId="0" borderId="63" xfId="30" applyBorder="1" applyAlignment="1" applyProtection="1">
      <alignment horizontal="center" vertical="center"/>
      <protection hidden="1"/>
    </xf>
    <xf numFmtId="0" fontId="35" fillId="0" borderId="12" xfId="87" applyFont="1" applyBorder="1" applyAlignment="1">
      <alignment horizontal="left" vertical="center"/>
    </xf>
    <xf numFmtId="0" fontId="35" fillId="0" borderId="13" xfId="87" applyFont="1" applyBorder="1" applyAlignment="1">
      <alignment horizontal="left" vertical="center"/>
    </xf>
    <xf numFmtId="0" fontId="35" fillId="0" borderId="14" xfId="87" applyFont="1" applyBorder="1" applyAlignment="1">
      <alignment horizontal="left" vertical="center"/>
    </xf>
    <xf numFmtId="0" fontId="91" fillId="36" borderId="12" xfId="87" applyFont="1" applyFill="1" applyBorder="1" applyAlignment="1">
      <alignment horizontal="center" vertical="center"/>
    </xf>
    <xf numFmtId="0" fontId="91" fillId="36" borderId="14" xfId="87" applyFont="1" applyFill="1" applyBorder="1" applyAlignment="1">
      <alignment horizontal="center" vertical="center"/>
    </xf>
    <xf numFmtId="0" fontId="50" fillId="0" borderId="64" xfId="87" applyFont="1" applyBorder="1" applyAlignment="1" applyProtection="1">
      <alignment horizontal="center" vertical="center"/>
      <protection locked="0"/>
    </xf>
    <xf numFmtId="0" fontId="50" fillId="0" borderId="66" xfId="87" applyFont="1" applyBorder="1" applyAlignment="1" applyProtection="1">
      <alignment horizontal="center" vertical="center"/>
      <protection locked="0"/>
    </xf>
    <xf numFmtId="3" fontId="35" fillId="39" borderId="12" xfId="87" applyNumberFormat="1" applyFont="1" applyFill="1" applyBorder="1" applyAlignment="1">
      <alignment horizontal="center" vertical="center"/>
    </xf>
    <xf numFmtId="3" fontId="35" fillId="39" borderId="14" xfId="87" applyNumberFormat="1" applyFont="1" applyFill="1" applyBorder="1" applyAlignment="1">
      <alignment horizontal="center" vertical="center"/>
    </xf>
    <xf numFmtId="0" fontId="35" fillId="36" borderId="13" xfId="87" applyFont="1" applyFill="1" applyBorder="1" applyAlignment="1">
      <alignment horizontal="center" vertical="center"/>
    </xf>
    <xf numFmtId="0" fontId="35" fillId="36" borderId="14" xfId="87" applyFont="1" applyFill="1" applyBorder="1" applyAlignment="1">
      <alignment horizontal="center" vertical="center"/>
    </xf>
    <xf numFmtId="0" fontId="35" fillId="0" borderId="13" xfId="87" applyFont="1" applyBorder="1" applyAlignment="1">
      <alignment horizontal="center" vertical="center"/>
    </xf>
    <xf numFmtId="0" fontId="57" fillId="0" borderId="12" xfId="30" applyBorder="1" applyAlignment="1" applyProtection="1">
      <alignment horizontal="center" vertical="center"/>
    </xf>
    <xf numFmtId="0" fontId="57" fillId="0" borderId="13" xfId="30" applyBorder="1" applyAlignment="1" applyProtection="1">
      <alignment horizontal="center" vertical="center"/>
    </xf>
    <xf numFmtId="0" fontId="57" fillId="0" borderId="14" xfId="30" applyBorder="1" applyAlignment="1" applyProtection="1">
      <alignment horizontal="center" vertical="center"/>
    </xf>
    <xf numFmtId="0" fontId="46" fillId="36" borderId="12" xfId="87" applyFont="1" applyFill="1" applyBorder="1" applyAlignment="1">
      <alignment horizontal="center" vertical="center"/>
    </xf>
    <xf numFmtId="0" fontId="46" fillId="36" borderId="13" xfId="87" applyFont="1" applyFill="1" applyBorder="1" applyAlignment="1">
      <alignment horizontal="center" vertical="center"/>
    </xf>
    <xf numFmtId="0" fontId="46" fillId="36" borderId="14" xfId="87" applyFont="1" applyFill="1" applyBorder="1" applyAlignment="1">
      <alignment horizontal="center" vertical="center"/>
    </xf>
    <xf numFmtId="0" fontId="26" fillId="36" borderId="12" xfId="87" applyFont="1" applyFill="1" applyBorder="1" applyAlignment="1">
      <alignment horizontal="center" vertical="center"/>
    </xf>
    <xf numFmtId="0" fontId="26" fillId="36" borderId="13" xfId="87" applyFont="1" applyFill="1" applyBorder="1" applyAlignment="1">
      <alignment horizontal="center" vertical="center"/>
    </xf>
    <xf numFmtId="0" fontId="26" fillId="36" borderId="14" xfId="87" applyFont="1" applyFill="1" applyBorder="1" applyAlignment="1">
      <alignment horizontal="center" vertical="center"/>
    </xf>
    <xf numFmtId="0" fontId="140" fillId="0" borderId="13" xfId="87" applyBorder="1" applyAlignment="1">
      <alignment horizontal="center" vertical="center"/>
    </xf>
    <xf numFmtId="0" fontId="16" fillId="0" borderId="12" xfId="87" applyFont="1" applyBorder="1" applyAlignment="1">
      <alignment horizontal="center" vertical="center"/>
    </xf>
    <xf numFmtId="0" fontId="16" fillId="0" borderId="13" xfId="87" applyFont="1" applyBorder="1" applyAlignment="1">
      <alignment horizontal="center" vertical="center"/>
    </xf>
    <xf numFmtId="0" fontId="16" fillId="0" borderId="14" xfId="87" applyFont="1" applyBorder="1" applyAlignment="1">
      <alignment horizontal="center" vertical="center"/>
    </xf>
    <xf numFmtId="14" fontId="152" fillId="29" borderId="41" xfId="87" applyNumberFormat="1" applyFont="1" applyFill="1" applyBorder="1" applyAlignment="1" applyProtection="1">
      <alignment horizontal="left" vertical="center"/>
      <protection locked="0"/>
    </xf>
    <xf numFmtId="14" fontId="152" fillId="29" borderId="36" xfId="87" applyNumberFormat="1" applyFont="1" applyFill="1" applyBorder="1" applyAlignment="1" applyProtection="1">
      <alignment horizontal="left" vertical="center"/>
      <protection locked="0"/>
    </xf>
    <xf numFmtId="14" fontId="152" fillId="29" borderId="37" xfId="87" applyNumberFormat="1" applyFont="1" applyFill="1" applyBorder="1" applyAlignment="1" applyProtection="1">
      <alignment horizontal="left" vertical="center"/>
      <protection locked="0"/>
    </xf>
    <xf numFmtId="0" fontId="16" fillId="0" borderId="16" xfId="87" applyFont="1" applyBorder="1" applyAlignment="1">
      <alignment horizontal="right" vertical="center"/>
    </xf>
    <xf numFmtId="14" fontId="150" fillId="36" borderId="12" xfId="87" applyNumberFormat="1" applyFont="1" applyFill="1" applyBorder="1" applyAlignment="1" applyProtection="1">
      <alignment horizontal="center" vertical="center"/>
      <protection hidden="1"/>
    </xf>
    <xf numFmtId="14" fontId="150" fillId="36" borderId="14" xfId="87" applyNumberFormat="1" applyFont="1" applyFill="1" applyBorder="1" applyAlignment="1" applyProtection="1">
      <alignment horizontal="center" vertical="center"/>
      <protection hidden="1"/>
    </xf>
    <xf numFmtId="0" fontId="40" fillId="0" borderId="15" xfId="87" applyFont="1" applyBorder="1" applyAlignment="1">
      <alignment horizontal="center" vertical="center"/>
    </xf>
    <xf numFmtId="0" fontId="40" fillId="0" borderId="16" xfId="87" applyFont="1" applyBorder="1" applyAlignment="1">
      <alignment horizontal="center" vertical="center"/>
    </xf>
    <xf numFmtId="0" fontId="40" fillId="0" borderId="17" xfId="87" applyFont="1" applyBorder="1" applyAlignment="1">
      <alignment horizontal="center" vertical="center"/>
    </xf>
    <xf numFmtId="0" fontId="40" fillId="0" borderId="72" xfId="87" applyFont="1" applyBorder="1" applyAlignment="1">
      <alignment horizontal="center" vertical="center"/>
    </xf>
    <xf numFmtId="0" fontId="40" fillId="0" borderId="71" xfId="87" applyFont="1" applyBorder="1" applyAlignment="1">
      <alignment horizontal="center" vertical="center"/>
    </xf>
    <xf numFmtId="0" fontId="40" fillId="0" borderId="79" xfId="87" applyFont="1" applyBorder="1" applyAlignment="1">
      <alignment horizontal="center" vertical="center"/>
    </xf>
    <xf numFmtId="14" fontId="150" fillId="36" borderId="15" xfId="87" applyNumberFormat="1" applyFont="1" applyFill="1" applyBorder="1" applyAlignment="1" applyProtection="1">
      <alignment horizontal="center" vertical="center"/>
      <protection hidden="1"/>
    </xf>
    <xf numFmtId="14" fontId="150" fillId="36" borderId="17" xfId="87" applyNumberFormat="1" applyFont="1" applyFill="1" applyBorder="1" applyAlignment="1" applyProtection="1">
      <alignment horizontal="center" vertical="center"/>
      <protection hidden="1"/>
    </xf>
    <xf numFmtId="14" fontId="152" fillId="34" borderId="43" xfId="87" applyNumberFormat="1" applyFont="1" applyFill="1" applyBorder="1" applyAlignment="1" applyProtection="1">
      <alignment horizontal="center" vertical="center"/>
      <protection locked="0"/>
    </xf>
    <xf numFmtId="14" fontId="152" fillId="34" borderId="35" xfId="87" applyNumberFormat="1" applyFont="1" applyFill="1" applyBorder="1" applyAlignment="1" applyProtection="1">
      <alignment horizontal="center" vertical="center"/>
      <protection locked="0"/>
    </xf>
    <xf numFmtId="14" fontId="153" fillId="34" borderId="40" xfId="87" applyNumberFormat="1" applyFont="1" applyFill="1" applyBorder="1" applyAlignment="1" applyProtection="1">
      <alignment horizontal="center" vertical="center"/>
      <protection locked="0"/>
    </xf>
    <xf numFmtId="14" fontId="153" fillId="34" borderId="10" xfId="87" applyNumberFormat="1" applyFont="1" applyFill="1" applyBorder="1" applyAlignment="1" applyProtection="1">
      <alignment horizontal="center" vertical="center"/>
      <protection locked="0"/>
    </xf>
    <xf numFmtId="14" fontId="152" fillId="34" borderId="40" xfId="87" applyNumberFormat="1" applyFont="1" applyFill="1" applyBorder="1" applyAlignment="1" applyProtection="1">
      <alignment horizontal="center" vertical="center"/>
      <protection locked="0"/>
    </xf>
    <xf numFmtId="14" fontId="152" fillId="34" borderId="10" xfId="87" applyNumberFormat="1" applyFont="1" applyFill="1" applyBorder="1" applyAlignment="1" applyProtection="1">
      <alignment horizontal="center" vertical="center"/>
      <protection locked="0"/>
    </xf>
    <xf numFmtId="14" fontId="152" fillId="34" borderId="32" xfId="87" applyNumberFormat="1" applyFont="1" applyFill="1" applyBorder="1" applyAlignment="1" applyProtection="1">
      <alignment horizontal="center" vertical="center"/>
      <protection locked="0"/>
    </xf>
    <xf numFmtId="14" fontId="144" fillId="0" borderId="68" xfId="87" applyNumberFormat="1" applyFont="1" applyBorder="1" applyAlignment="1" applyProtection="1">
      <alignment horizontal="center" vertical="center"/>
      <protection locked="0"/>
    </xf>
    <xf numFmtId="14" fontId="144" fillId="0" borderId="55" xfId="87" applyNumberFormat="1" applyFont="1" applyBorder="1" applyAlignment="1" applyProtection="1">
      <alignment horizontal="center" vertical="center"/>
      <protection locked="0"/>
    </xf>
    <xf numFmtId="14" fontId="144" fillId="0" borderId="63" xfId="87" applyNumberFormat="1" applyFont="1" applyBorder="1" applyAlignment="1" applyProtection="1">
      <alignment horizontal="center" vertical="center"/>
      <protection locked="0"/>
    </xf>
    <xf numFmtId="0" fontId="140" fillId="0" borderId="38" xfId="87" applyBorder="1" applyAlignment="1" applyProtection="1">
      <alignment horizontal="center" vertical="center"/>
      <protection hidden="1"/>
    </xf>
    <xf numFmtId="0" fontId="140" fillId="0" borderId="65" xfId="87" applyBorder="1" applyAlignment="1" applyProtection="1">
      <alignment horizontal="center" vertical="center"/>
      <protection hidden="1"/>
    </xf>
    <xf numFmtId="0" fontId="140" fillId="0" borderId="66" xfId="87" applyBorder="1" applyAlignment="1" applyProtection="1">
      <alignment horizontal="center" vertical="center"/>
      <protection hidden="1"/>
    </xf>
    <xf numFmtId="0" fontId="57" fillId="0" borderId="20" xfId="30" applyBorder="1" applyAlignment="1" applyProtection="1">
      <alignment horizontal="center" vertical="center"/>
      <protection hidden="1"/>
    </xf>
    <xf numFmtId="0" fontId="35" fillId="0" borderId="11" xfId="87" applyFont="1" applyBorder="1" applyAlignment="1" applyProtection="1">
      <alignment horizontal="center" vertical="center"/>
      <protection hidden="1"/>
    </xf>
    <xf numFmtId="0" fontId="35" fillId="0" borderId="58" xfId="87" applyFont="1" applyBorder="1" applyAlignment="1" applyProtection="1">
      <alignment horizontal="center" vertical="center"/>
      <protection hidden="1"/>
    </xf>
    <xf numFmtId="0" fontId="92" fillId="0" borderId="12" xfId="87" applyFont="1" applyBorder="1" applyAlignment="1">
      <alignment horizontal="center" vertical="center"/>
    </xf>
    <xf numFmtId="0" fontId="92" fillId="0" borderId="14" xfId="87" applyFont="1" applyBorder="1" applyAlignment="1">
      <alignment horizontal="center" vertical="center"/>
    </xf>
    <xf numFmtId="0" fontId="35" fillId="0" borderId="12" xfId="87" applyFont="1" applyBorder="1" applyAlignment="1" applyProtection="1">
      <alignment horizontal="left" vertical="center"/>
      <protection locked="0"/>
    </xf>
    <xf numFmtId="0" fontId="140" fillId="0" borderId="13" xfId="87" applyBorder="1" applyAlignment="1" applyProtection="1">
      <alignment horizontal="left" vertical="center"/>
      <protection locked="0"/>
    </xf>
    <xf numFmtId="0" fontId="140" fillId="0" borderId="14" xfId="87" applyBorder="1" applyAlignment="1" applyProtection="1">
      <alignment horizontal="left" vertical="center"/>
      <protection locked="0"/>
    </xf>
    <xf numFmtId="10" fontId="26" fillId="35" borderId="12" xfId="87" applyNumberFormat="1" applyFont="1" applyFill="1" applyBorder="1" applyAlignment="1" applyProtection="1">
      <alignment horizontal="center" vertical="center"/>
      <protection hidden="1"/>
    </xf>
    <xf numFmtId="0" fontId="26" fillId="35" borderId="14" xfId="87" applyFont="1" applyFill="1" applyBorder="1" applyAlignment="1" applyProtection="1">
      <alignment horizontal="center" vertical="center"/>
      <protection hidden="1"/>
    </xf>
    <xf numFmtId="0" fontId="26" fillId="35" borderId="12" xfId="87" applyFont="1" applyFill="1" applyBorder="1" applyAlignment="1" applyProtection="1">
      <alignment horizontal="center" vertical="center"/>
      <protection hidden="1"/>
    </xf>
    <xf numFmtId="0" fontId="26" fillId="35" borderId="13" xfId="87" applyFont="1" applyFill="1" applyBorder="1" applyAlignment="1" applyProtection="1">
      <alignment horizontal="center" vertical="center"/>
      <protection hidden="1"/>
    </xf>
    <xf numFmtId="0" fontId="16" fillId="0" borderId="0" xfId="53" applyFont="1" applyAlignment="1">
      <alignment horizontal="left" vertical="center"/>
    </xf>
    <xf numFmtId="0" fontId="16" fillId="0" borderId="16" xfId="53" applyFont="1" applyBorder="1" applyAlignment="1" applyProtection="1">
      <alignment horizontal="right" vertical="center"/>
      <protection hidden="1"/>
    </xf>
    <xf numFmtId="10" fontId="16" fillId="0" borderId="20" xfId="53" applyNumberFormat="1" applyFont="1" applyBorder="1" applyAlignment="1" applyProtection="1">
      <alignment horizontal="left" vertical="center"/>
      <protection locked="0"/>
    </xf>
    <xf numFmtId="10" fontId="16" fillId="0" borderId="29" xfId="53" applyNumberFormat="1" applyFont="1" applyBorder="1" applyAlignment="1" applyProtection="1">
      <alignment horizontal="left" vertical="center"/>
      <protection locked="0"/>
    </xf>
    <xf numFmtId="0" fontId="16" fillId="0" borderId="20" xfId="53" applyFont="1" applyBorder="1" applyAlignment="1" applyProtection="1">
      <alignment horizontal="left" vertical="center"/>
      <protection locked="0"/>
    </xf>
    <xf numFmtId="0" fontId="16" fillId="0" borderId="29" xfId="53" applyFont="1" applyBorder="1" applyAlignment="1" applyProtection="1">
      <alignment horizontal="left" vertical="center"/>
      <protection locked="0"/>
    </xf>
    <xf numFmtId="0" fontId="16" fillId="32" borderId="33" xfId="53" applyFont="1" applyFill="1" applyBorder="1" applyAlignment="1">
      <alignment horizontal="center" vertical="center"/>
    </xf>
    <xf numFmtId="0" fontId="16" fillId="32" borderId="11" xfId="53" applyFont="1" applyFill="1" applyBorder="1" applyAlignment="1">
      <alignment horizontal="center" vertical="center"/>
    </xf>
    <xf numFmtId="0" fontId="16" fillId="32" borderId="29" xfId="53" applyFont="1" applyFill="1" applyBorder="1" applyAlignment="1">
      <alignment horizontal="center" vertical="center"/>
    </xf>
    <xf numFmtId="4" fontId="139" fillId="36" borderId="33" xfId="53" applyNumberFormat="1" applyFont="1" applyFill="1" applyBorder="1" applyAlignment="1" applyProtection="1">
      <alignment horizontal="center" vertical="center"/>
      <protection locked="0"/>
    </xf>
    <xf numFmtId="4" fontId="139" fillId="36" borderId="11" xfId="53" applyNumberFormat="1" applyFont="1" applyFill="1" applyBorder="1" applyAlignment="1" applyProtection="1">
      <alignment horizontal="center" vertical="center"/>
      <protection locked="0"/>
    </xf>
    <xf numFmtId="4" fontId="139" fillId="36" borderId="29" xfId="53" applyNumberFormat="1" applyFont="1" applyFill="1" applyBorder="1" applyAlignment="1" applyProtection="1">
      <alignment horizontal="center" vertical="center"/>
      <protection locked="0"/>
    </xf>
    <xf numFmtId="0" fontId="16" fillId="36" borderId="68" xfId="53" applyFont="1" applyFill="1" applyBorder="1" applyAlignment="1">
      <alignment horizontal="center" vertical="center"/>
    </xf>
    <xf numFmtId="0" fontId="16" fillId="36" borderId="55" xfId="53" applyFont="1" applyFill="1" applyBorder="1" applyAlignment="1">
      <alignment horizontal="center" vertical="center"/>
    </xf>
    <xf numFmtId="0" fontId="16" fillId="36" borderId="67" xfId="53" applyFont="1" applyFill="1" applyBorder="1" applyAlignment="1">
      <alignment horizontal="center" vertical="center"/>
    </xf>
    <xf numFmtId="4" fontId="90" fillId="32" borderId="68" xfId="53" applyNumberFormat="1" applyFont="1" applyFill="1" applyBorder="1" applyAlignment="1">
      <alignment horizontal="center" vertical="center"/>
    </xf>
    <xf numFmtId="4" fontId="90" fillId="32" borderId="55" xfId="53" applyNumberFormat="1" applyFont="1" applyFill="1" applyBorder="1" applyAlignment="1">
      <alignment horizontal="center" vertical="center"/>
    </xf>
    <xf numFmtId="4" fontId="90" fillId="32" borderId="67" xfId="53" applyNumberFormat="1" applyFont="1" applyFill="1" applyBorder="1" applyAlignment="1">
      <alignment horizontal="center" vertical="center"/>
    </xf>
    <xf numFmtId="4" fontId="16" fillId="32" borderId="39" xfId="53" applyNumberFormat="1" applyFont="1" applyFill="1" applyBorder="1" applyAlignment="1">
      <alignment horizontal="center" vertical="center"/>
    </xf>
    <xf numFmtId="4" fontId="16" fillId="32" borderId="55" xfId="53" applyNumberFormat="1" applyFont="1" applyFill="1" applyBorder="1" applyAlignment="1">
      <alignment horizontal="center" vertical="center"/>
    </xf>
    <xf numFmtId="0" fontId="16" fillId="32" borderId="63" xfId="53" applyFont="1" applyFill="1" applyBorder="1" applyAlignment="1">
      <alignment horizontal="center" vertical="center"/>
    </xf>
    <xf numFmtId="0" fontId="16" fillId="36" borderId="12" xfId="53" applyFont="1" applyFill="1" applyBorder="1" applyAlignment="1">
      <alignment horizontal="center" vertical="center"/>
    </xf>
    <xf numFmtId="0" fontId="16" fillId="36" borderId="13" xfId="53" applyFont="1" applyFill="1" applyBorder="1" applyAlignment="1">
      <alignment horizontal="center" vertical="center"/>
    </xf>
    <xf numFmtId="0" fontId="16" fillId="36" borderId="14" xfId="53" applyFont="1" applyFill="1" applyBorder="1" applyAlignment="1">
      <alignment horizontal="center" vertical="center"/>
    </xf>
    <xf numFmtId="4" fontId="90" fillId="32" borderId="12" xfId="53" applyNumberFormat="1" applyFont="1" applyFill="1" applyBorder="1" applyAlignment="1">
      <alignment horizontal="center" vertical="center"/>
    </xf>
    <xf numFmtId="4" fontId="90" fillId="32" borderId="13" xfId="53" applyNumberFormat="1" applyFont="1" applyFill="1" applyBorder="1" applyAlignment="1">
      <alignment horizontal="center" vertical="center"/>
    </xf>
    <xf numFmtId="4" fontId="90" fillId="32" borderId="14" xfId="53" applyNumberFormat="1" applyFont="1" applyFill="1" applyBorder="1" applyAlignment="1">
      <alignment horizontal="center" vertical="center"/>
    </xf>
    <xf numFmtId="4" fontId="90" fillId="32" borderId="72" xfId="53" applyNumberFormat="1" applyFont="1" applyFill="1" applyBorder="1" applyAlignment="1">
      <alignment horizontal="center" vertical="center"/>
    </xf>
    <xf numFmtId="4" fontId="90" fillId="32" borderId="71" xfId="53" applyNumberFormat="1" applyFont="1" applyFill="1" applyBorder="1" applyAlignment="1">
      <alignment horizontal="center" vertical="center"/>
    </xf>
    <xf numFmtId="4" fontId="90" fillId="32" borderId="79" xfId="53" applyNumberFormat="1" applyFont="1" applyFill="1" applyBorder="1" applyAlignment="1">
      <alignment horizontal="center" vertical="center"/>
    </xf>
    <xf numFmtId="0" fontId="16" fillId="36" borderId="12" xfId="53" applyFont="1" applyFill="1" applyBorder="1" applyAlignment="1" applyProtection="1">
      <alignment horizontal="center" vertical="center"/>
      <protection hidden="1"/>
    </xf>
    <xf numFmtId="0" fontId="16" fillId="36" borderId="13" xfId="53" applyFont="1" applyFill="1" applyBorder="1" applyAlignment="1" applyProtection="1">
      <alignment horizontal="center" vertical="center"/>
      <protection hidden="1"/>
    </xf>
    <xf numFmtId="0" fontId="16" fillId="36" borderId="14" xfId="53" applyFont="1" applyFill="1" applyBorder="1" applyAlignment="1" applyProtection="1">
      <alignment horizontal="center" vertical="center"/>
      <protection hidden="1"/>
    </xf>
    <xf numFmtId="0" fontId="38" fillId="31" borderId="12" xfId="53" applyFont="1" applyFill="1" applyBorder="1" applyAlignment="1" applyProtection="1">
      <alignment horizontal="center" vertical="center"/>
      <protection hidden="1"/>
    </xf>
    <xf numFmtId="0" fontId="38" fillId="31" borderId="13" xfId="53" applyFont="1" applyFill="1" applyBorder="1" applyAlignment="1" applyProtection="1">
      <alignment horizontal="center" vertical="center"/>
      <protection hidden="1"/>
    </xf>
    <xf numFmtId="0" fontId="38" fillId="31" borderId="14" xfId="53" applyFont="1" applyFill="1" applyBorder="1" applyAlignment="1" applyProtection="1">
      <alignment horizontal="center" vertical="center"/>
      <protection hidden="1"/>
    </xf>
    <xf numFmtId="0" fontId="38" fillId="0" borderId="12" xfId="53" applyFont="1" applyBorder="1" applyAlignment="1" applyProtection="1">
      <alignment horizontal="center" vertical="center"/>
      <protection hidden="1"/>
    </xf>
    <xf numFmtId="0" fontId="38" fillId="0" borderId="13" xfId="53" applyFont="1" applyBorder="1" applyAlignment="1" applyProtection="1">
      <alignment horizontal="center" vertical="center"/>
      <protection hidden="1"/>
    </xf>
    <xf numFmtId="0" fontId="38" fillId="0" borderId="14" xfId="53" applyFont="1" applyBorder="1" applyAlignment="1" applyProtection="1">
      <alignment horizontal="center" vertical="center"/>
      <protection hidden="1"/>
    </xf>
    <xf numFmtId="10" fontId="16" fillId="31" borderId="33" xfId="53" applyNumberFormat="1" applyFont="1" applyFill="1" applyBorder="1" applyAlignment="1" applyProtection="1">
      <alignment horizontal="center" vertical="center"/>
      <protection locked="0"/>
    </xf>
    <xf numFmtId="10" fontId="16" fillId="31" borderId="11" xfId="53" applyNumberFormat="1" applyFont="1" applyFill="1" applyBorder="1" applyAlignment="1" applyProtection="1">
      <alignment horizontal="center" vertical="center"/>
      <protection locked="0"/>
    </xf>
    <xf numFmtId="10" fontId="16" fillId="31" borderId="29" xfId="53" applyNumberFormat="1" applyFont="1" applyFill="1" applyBorder="1" applyAlignment="1" applyProtection="1">
      <alignment horizontal="center" vertical="center"/>
      <protection locked="0"/>
    </xf>
    <xf numFmtId="0" fontId="50" fillId="0" borderId="0" xfId="53" applyFont="1" applyAlignment="1" applyProtection="1">
      <alignment horizontal="left"/>
      <protection hidden="1"/>
    </xf>
    <xf numFmtId="0" fontId="16" fillId="0" borderId="16" xfId="53" applyFont="1" applyBorder="1" applyAlignment="1" applyProtection="1">
      <alignment horizontal="right"/>
      <protection hidden="1"/>
    </xf>
    <xf numFmtId="10" fontId="26" fillId="0" borderId="10" xfId="53" applyNumberFormat="1" applyFont="1" applyBorder="1" applyAlignment="1" applyProtection="1">
      <alignment horizontal="center"/>
      <protection locked="0"/>
    </xf>
    <xf numFmtId="10" fontId="26" fillId="0" borderId="32" xfId="53" applyNumberFormat="1" applyFont="1" applyBorder="1" applyAlignment="1" applyProtection="1">
      <alignment horizontal="center"/>
      <protection locked="0"/>
    </xf>
    <xf numFmtId="0" fontId="49" fillId="36" borderId="33" xfId="53" applyFont="1" applyFill="1" applyBorder="1" applyAlignment="1" applyProtection="1">
      <alignment horizontal="center"/>
      <protection hidden="1"/>
    </xf>
    <xf numFmtId="0" fontId="49" fillId="36" borderId="11" xfId="53" applyFont="1" applyFill="1" applyBorder="1" applyAlignment="1" applyProtection="1">
      <alignment horizontal="center"/>
      <protection hidden="1"/>
    </xf>
    <xf numFmtId="0" fontId="49" fillId="36" borderId="29" xfId="53" applyFont="1" applyFill="1" applyBorder="1" applyAlignment="1" applyProtection="1">
      <alignment horizontal="center"/>
      <protection hidden="1"/>
    </xf>
    <xf numFmtId="0" fontId="49" fillId="0" borderId="33" xfId="53" applyFont="1" applyBorder="1" applyAlignment="1" applyProtection="1">
      <alignment horizontal="center"/>
      <protection hidden="1"/>
    </xf>
    <xf numFmtId="0" fontId="49" fillId="0" borderId="11" xfId="53" applyFont="1" applyBorder="1" applyAlignment="1" applyProtection="1">
      <alignment horizontal="center"/>
      <protection hidden="1"/>
    </xf>
    <xf numFmtId="0" fontId="49" fillId="0" borderId="58" xfId="53" applyFont="1" applyBorder="1" applyAlignment="1" applyProtection="1">
      <alignment horizontal="center"/>
      <protection hidden="1"/>
    </xf>
    <xf numFmtId="0" fontId="49" fillId="36" borderId="68" xfId="53" applyFont="1" applyFill="1" applyBorder="1" applyAlignment="1" applyProtection="1">
      <alignment horizontal="center"/>
      <protection hidden="1"/>
    </xf>
    <xf numFmtId="0" fontId="49" fillId="36" borderId="55" xfId="53" applyFont="1" applyFill="1" applyBorder="1" applyAlignment="1" applyProtection="1">
      <alignment horizontal="center"/>
      <protection hidden="1"/>
    </xf>
    <xf numFmtId="0" fontId="49" fillId="36" borderId="67" xfId="53" applyFont="1" applyFill="1" applyBorder="1" applyAlignment="1" applyProtection="1">
      <alignment horizontal="center"/>
      <protection hidden="1"/>
    </xf>
    <xf numFmtId="171" fontId="49" fillId="36" borderId="39" xfId="53" applyNumberFormat="1" applyFont="1" applyFill="1" applyBorder="1" applyAlignment="1" applyProtection="1">
      <alignment horizontal="center"/>
      <protection hidden="1"/>
    </xf>
    <xf numFmtId="171" fontId="49" fillId="36" borderId="55" xfId="53" applyNumberFormat="1" applyFont="1" applyFill="1" applyBorder="1" applyAlignment="1" applyProtection="1">
      <alignment horizontal="center"/>
      <protection hidden="1"/>
    </xf>
    <xf numFmtId="171" fontId="49" fillId="36" borderId="63" xfId="53" applyNumberFormat="1" applyFont="1" applyFill="1" applyBorder="1" applyAlignment="1" applyProtection="1">
      <alignment horizontal="center"/>
      <protection hidden="1"/>
    </xf>
    <xf numFmtId="10" fontId="26" fillId="0" borderId="20" xfId="53" applyNumberFormat="1" applyFont="1" applyBorder="1" applyAlignment="1" applyProtection="1">
      <alignment horizontal="center"/>
      <protection locked="0"/>
    </xf>
    <xf numFmtId="10" fontId="26" fillId="0" borderId="29" xfId="53" applyNumberFormat="1" applyFont="1" applyBorder="1" applyAlignment="1" applyProtection="1">
      <alignment horizontal="center"/>
      <protection locked="0"/>
    </xf>
    <xf numFmtId="0" fontId="26" fillId="36" borderId="12" xfId="53" applyFont="1" applyFill="1" applyBorder="1" applyAlignment="1">
      <alignment horizontal="center"/>
    </xf>
    <xf numFmtId="0" fontId="26" fillId="36" borderId="14" xfId="53" applyFont="1" applyFill="1" applyBorder="1" applyAlignment="1">
      <alignment horizontal="center"/>
    </xf>
    <xf numFmtId="10" fontId="26" fillId="0" borderId="57" xfId="53" applyNumberFormat="1" applyFont="1" applyBorder="1" applyAlignment="1" applyProtection="1">
      <alignment horizontal="center"/>
      <protection locked="0"/>
    </xf>
    <xf numFmtId="10" fontId="26" fillId="0" borderId="60" xfId="53" applyNumberFormat="1" applyFont="1" applyBorder="1" applyAlignment="1" applyProtection="1">
      <alignment horizontal="center"/>
      <protection locked="0"/>
    </xf>
    <xf numFmtId="10" fontId="26" fillId="0" borderId="25" xfId="53" applyNumberFormat="1" applyFont="1" applyBorder="1" applyAlignment="1" applyProtection="1">
      <alignment horizontal="center"/>
      <protection locked="0"/>
    </xf>
    <xf numFmtId="10" fontId="26" fillId="0" borderId="26" xfId="53" applyNumberFormat="1" applyFont="1" applyBorder="1" applyAlignment="1" applyProtection="1">
      <alignment horizontal="center"/>
      <protection locked="0"/>
    </xf>
    <xf numFmtId="0" fontId="35" fillId="31" borderId="12" xfId="53" applyFill="1" applyBorder="1" applyAlignment="1" applyProtection="1">
      <alignment horizontal="center" vertical="center"/>
      <protection hidden="1"/>
    </xf>
    <xf numFmtId="0" fontId="35" fillId="31" borderId="13" xfId="53" applyFill="1" applyBorder="1" applyAlignment="1" applyProtection="1">
      <alignment horizontal="center" vertical="center"/>
      <protection hidden="1"/>
    </xf>
    <xf numFmtId="0" fontId="35" fillId="31" borderId="14" xfId="53" applyFill="1" applyBorder="1" applyAlignment="1" applyProtection="1">
      <alignment horizontal="center" vertical="center"/>
      <protection hidden="1"/>
    </xf>
    <xf numFmtId="0" fontId="46" fillId="29" borderId="28" xfId="53" applyFont="1" applyFill="1" applyBorder="1" applyAlignment="1" applyProtection="1">
      <alignment horizontal="center"/>
      <protection hidden="1"/>
    </xf>
    <xf numFmtId="0" fontId="46" fillId="29" borderId="0" xfId="53" applyFont="1" applyFill="1" applyAlignment="1" applyProtection="1">
      <alignment horizontal="center"/>
      <protection hidden="1"/>
    </xf>
    <xf numFmtId="0" fontId="155" fillId="0" borderId="12" xfId="53" applyFont="1" applyBorder="1" applyAlignment="1" applyProtection="1">
      <alignment horizontal="center"/>
      <protection hidden="1"/>
    </xf>
    <xf numFmtId="0" fontId="155" fillId="0" borderId="13" xfId="53" applyFont="1" applyBorder="1" applyAlignment="1" applyProtection="1">
      <alignment horizontal="center"/>
      <protection hidden="1"/>
    </xf>
    <xf numFmtId="0" fontId="155" fillId="0" borderId="14" xfId="53" applyFont="1" applyBorder="1" applyAlignment="1" applyProtection="1">
      <alignment horizontal="center"/>
      <protection hidden="1"/>
    </xf>
    <xf numFmtId="0" fontId="46" fillId="36" borderId="12" xfId="53" applyFont="1" applyFill="1" applyBorder="1" applyAlignment="1">
      <alignment horizontal="center"/>
    </xf>
    <xf numFmtId="0" fontId="46" fillId="36" borderId="13" xfId="53" applyFont="1" applyFill="1" applyBorder="1" applyAlignment="1">
      <alignment horizontal="center"/>
    </xf>
    <xf numFmtId="0" fontId="46" fillId="36" borderId="14" xfId="53" applyFont="1" applyFill="1" applyBorder="1" applyAlignment="1">
      <alignment horizontal="center"/>
    </xf>
    <xf numFmtId="0" fontId="35" fillId="0" borderId="16" xfId="87" applyFont="1" applyBorder="1" applyAlignment="1">
      <alignment horizontal="left" vertical="center"/>
    </xf>
    <xf numFmtId="0" fontId="132" fillId="0" borderId="16" xfId="87" applyFont="1" applyBorder="1" applyAlignment="1">
      <alignment horizontal="right" vertical="center"/>
    </xf>
    <xf numFmtId="0" fontId="1" fillId="0" borderId="12" xfId="87" applyFont="1" applyBorder="1" applyAlignment="1" applyProtection="1">
      <alignment horizontal="center" vertical="center"/>
      <protection hidden="1"/>
    </xf>
    <xf numFmtId="0" fontId="140" fillId="0" borderId="13" xfId="87" applyBorder="1" applyAlignment="1" applyProtection="1">
      <alignment horizontal="center" vertical="center"/>
      <protection hidden="1"/>
    </xf>
    <xf numFmtId="0" fontId="140" fillId="0" borderId="14" xfId="87" applyBorder="1" applyAlignment="1" applyProtection="1">
      <alignment horizontal="center" vertical="center"/>
      <protection hidden="1"/>
    </xf>
    <xf numFmtId="0" fontId="12" fillId="29" borderId="12" xfId="52" applyFont="1" applyFill="1" applyBorder="1" applyAlignment="1" applyProtection="1">
      <alignment horizontal="center"/>
      <protection hidden="1"/>
    </xf>
    <xf numFmtId="0" fontId="12" fillId="29" borderId="13" xfId="52" applyFont="1" applyFill="1" applyBorder="1" applyAlignment="1" applyProtection="1">
      <alignment horizontal="center"/>
      <protection hidden="1"/>
    </xf>
    <xf numFmtId="0" fontId="12" fillId="29" borderId="14" xfId="52" applyFont="1" applyFill="1" applyBorder="1" applyAlignment="1" applyProtection="1">
      <alignment horizontal="center"/>
      <protection hidden="1"/>
    </xf>
    <xf numFmtId="0" fontId="164" fillId="0" borderId="12" xfId="87" applyFont="1" applyBorder="1" applyAlignment="1" applyProtection="1">
      <alignment horizontal="center" vertical="center"/>
      <protection hidden="1"/>
    </xf>
    <xf numFmtId="0" fontId="164" fillId="0" borderId="13" xfId="87" applyFont="1" applyBorder="1" applyAlignment="1" applyProtection="1">
      <alignment horizontal="center" vertical="center"/>
      <protection hidden="1"/>
    </xf>
    <xf numFmtId="0" fontId="164" fillId="0" borderId="14" xfId="87" applyFont="1" applyBorder="1" applyAlignment="1" applyProtection="1">
      <alignment horizontal="center" vertical="center"/>
      <protection hidden="1"/>
    </xf>
    <xf numFmtId="0" fontId="165" fillId="0" borderId="12" xfId="87" applyFont="1" applyBorder="1" applyAlignment="1" applyProtection="1">
      <alignment horizontal="center" vertical="center"/>
      <protection hidden="1"/>
    </xf>
    <xf numFmtId="0" fontId="165" fillId="0" borderId="13" xfId="87" applyFont="1" applyBorder="1" applyAlignment="1" applyProtection="1">
      <alignment horizontal="center" vertical="center"/>
      <protection hidden="1"/>
    </xf>
    <xf numFmtId="0" fontId="165" fillId="0" borderId="14" xfId="87" applyFont="1" applyBorder="1" applyAlignment="1" applyProtection="1">
      <alignment horizontal="center" vertical="center"/>
      <protection hidden="1"/>
    </xf>
    <xf numFmtId="0" fontId="62" fillId="0" borderId="12" xfId="87" applyFont="1" applyBorder="1" applyAlignment="1" applyProtection="1">
      <alignment horizontal="center" vertical="center"/>
      <protection hidden="1"/>
    </xf>
    <xf numFmtId="0" fontId="62" fillId="0" borderId="13" xfId="87" applyFont="1" applyBorder="1" applyAlignment="1" applyProtection="1">
      <alignment horizontal="center" vertical="center"/>
      <protection hidden="1"/>
    </xf>
    <xf numFmtId="0" fontId="62" fillId="0" borderId="14" xfId="87" applyFont="1" applyBorder="1" applyAlignment="1" applyProtection="1">
      <alignment horizontal="center" vertical="center"/>
      <protection hidden="1"/>
    </xf>
    <xf numFmtId="0" fontId="1" fillId="0" borderId="13" xfId="87" applyFont="1" applyBorder="1" applyAlignment="1" applyProtection="1">
      <alignment horizontal="center" vertical="center"/>
      <protection hidden="1"/>
    </xf>
    <xf numFmtId="0" fontId="1" fillId="0" borderId="14" xfId="87" applyFont="1" applyBorder="1" applyAlignment="1" applyProtection="1">
      <alignment horizontal="center" vertical="center"/>
      <protection hidden="1"/>
    </xf>
    <xf numFmtId="0" fontId="163" fillId="0" borderId="12" xfId="87" applyFont="1" applyBorder="1" applyAlignment="1" applyProtection="1">
      <alignment horizontal="center" vertical="center"/>
      <protection hidden="1"/>
    </xf>
    <xf numFmtId="0" fontId="163" fillId="0" borderId="14" xfId="87" applyFont="1" applyBorder="1" applyAlignment="1" applyProtection="1">
      <alignment horizontal="center" vertical="center"/>
      <protection hidden="1"/>
    </xf>
    <xf numFmtId="0" fontId="62" fillId="47" borderId="19" xfId="87" applyFont="1" applyFill="1" applyBorder="1" applyAlignment="1" applyProtection="1">
      <alignment horizontal="center" vertical="center"/>
      <protection hidden="1"/>
    </xf>
    <xf numFmtId="0" fontId="62" fillId="47" borderId="22" xfId="87" applyFont="1" applyFill="1" applyBorder="1" applyAlignment="1" applyProtection="1">
      <alignment horizontal="center" vertical="center"/>
      <protection hidden="1"/>
    </xf>
    <xf numFmtId="0" fontId="62" fillId="44" borderId="20" xfId="87" applyFont="1" applyFill="1" applyBorder="1" applyAlignment="1" applyProtection="1">
      <alignment horizontal="center" vertical="center"/>
      <protection hidden="1"/>
    </xf>
    <xf numFmtId="0" fontId="62" fillId="44" borderId="11" xfId="87" applyFont="1" applyFill="1" applyBorder="1" applyAlignment="1" applyProtection="1">
      <alignment horizontal="center" vertical="center"/>
      <protection hidden="1"/>
    </xf>
    <xf numFmtId="0" fontId="62" fillId="44" borderId="58" xfId="87" applyFont="1" applyFill="1" applyBorder="1" applyAlignment="1" applyProtection="1">
      <alignment horizontal="center" vertical="center"/>
      <protection hidden="1"/>
    </xf>
    <xf numFmtId="0" fontId="124" fillId="44" borderId="10" xfId="30" applyFont="1" applyFill="1" applyBorder="1" applyAlignment="1" applyProtection="1">
      <alignment horizontal="center" vertical="center" wrapText="1"/>
      <protection locked="0"/>
    </xf>
    <xf numFmtId="0" fontId="124" fillId="44" borderId="32" xfId="30" applyFont="1" applyFill="1" applyBorder="1" applyAlignment="1" applyProtection="1">
      <alignment horizontal="center" vertical="center" wrapText="1"/>
      <protection locked="0"/>
    </xf>
    <xf numFmtId="0" fontId="124" fillId="44" borderId="36" xfId="30" applyFont="1" applyFill="1" applyBorder="1" applyAlignment="1" applyProtection="1">
      <alignment horizontal="center" vertical="center" wrapText="1"/>
      <protection locked="0"/>
    </xf>
    <xf numFmtId="0" fontId="124" fillId="44" borderId="37" xfId="30" applyFont="1" applyFill="1" applyBorder="1" applyAlignment="1" applyProtection="1">
      <alignment horizontal="center" vertical="center" wrapText="1"/>
      <protection locked="0"/>
    </xf>
    <xf numFmtId="0" fontId="62" fillId="47" borderId="76" xfId="87" applyFont="1" applyFill="1" applyBorder="1" applyAlignment="1" applyProtection="1">
      <alignment horizontal="center" vertical="center"/>
      <protection hidden="1"/>
    </xf>
    <xf numFmtId="0" fontId="62" fillId="47" borderId="77" xfId="87" applyFont="1" applyFill="1" applyBorder="1" applyAlignment="1" applyProtection="1">
      <alignment horizontal="center" vertical="center"/>
      <protection hidden="1"/>
    </xf>
    <xf numFmtId="0" fontId="76" fillId="50" borderId="12" xfId="87" applyFont="1" applyFill="1" applyBorder="1" applyAlignment="1" applyProtection="1">
      <alignment horizontal="center" vertical="center"/>
      <protection hidden="1"/>
    </xf>
    <xf numFmtId="0" fontId="76" fillId="50" borderId="13" xfId="87" applyFont="1" applyFill="1" applyBorder="1" applyAlignment="1" applyProtection="1">
      <alignment horizontal="center" vertical="center"/>
      <protection hidden="1"/>
    </xf>
    <xf numFmtId="0" fontId="76" fillId="50" borderId="14" xfId="87" applyFont="1" applyFill="1" applyBorder="1" applyAlignment="1" applyProtection="1">
      <alignment horizontal="center" vertical="center"/>
      <protection hidden="1"/>
    </xf>
    <xf numFmtId="0" fontId="140" fillId="0" borderId="0" xfId="87" applyAlignment="1" applyProtection="1">
      <alignment horizontal="right" vertical="center"/>
      <protection hidden="1"/>
    </xf>
    <xf numFmtId="0" fontId="123" fillId="50" borderId="12" xfId="30" applyFont="1" applyFill="1" applyBorder="1" applyAlignment="1" applyProtection="1">
      <alignment horizontal="center" vertical="center"/>
    </xf>
    <xf numFmtId="0" fontId="123" fillId="50" borderId="14" xfId="30" applyFont="1" applyFill="1" applyBorder="1" applyAlignment="1" applyProtection="1">
      <alignment horizontal="center" vertical="center"/>
    </xf>
    <xf numFmtId="0" fontId="62" fillId="0" borderId="38" xfId="87" applyFont="1" applyBorder="1" applyAlignment="1" applyProtection="1">
      <alignment horizontal="center" vertical="center"/>
      <protection hidden="1"/>
    </xf>
    <xf numFmtId="0" fontId="62" fillId="0" borderId="70" xfId="87" applyFont="1" applyBorder="1" applyAlignment="1" applyProtection="1">
      <alignment horizontal="center" vertical="center"/>
      <protection hidden="1"/>
    </xf>
    <xf numFmtId="14" fontId="62" fillId="0" borderId="20" xfId="87" applyNumberFormat="1" applyFont="1" applyBorder="1" applyAlignment="1" applyProtection="1">
      <alignment horizontal="center" vertical="center"/>
      <protection hidden="1"/>
    </xf>
    <xf numFmtId="0" fontId="62" fillId="0" borderId="29" xfId="87" applyFont="1" applyBorder="1" applyAlignment="1" applyProtection="1">
      <alignment horizontal="center" vertical="center"/>
      <protection hidden="1"/>
    </xf>
    <xf numFmtId="169" fontId="60" fillId="0" borderId="39" xfId="31" applyNumberFormat="1" applyBorder="1" applyAlignment="1" applyProtection="1">
      <alignment horizontal="center" vertical="center"/>
      <protection hidden="1"/>
    </xf>
    <xf numFmtId="169" fontId="60" fillId="0" borderId="63" xfId="31" applyNumberFormat="1" applyBorder="1" applyAlignment="1" applyProtection="1">
      <alignment horizontal="center" vertical="center"/>
      <protection hidden="1"/>
    </xf>
    <xf numFmtId="0" fontId="160" fillId="50" borderId="12" xfId="87" applyFont="1" applyFill="1" applyBorder="1" applyAlignment="1" applyProtection="1">
      <alignment horizontal="left" vertical="center"/>
      <protection hidden="1"/>
    </xf>
    <xf numFmtId="0" fontId="160" fillId="50" borderId="13" xfId="87" applyFont="1" applyFill="1" applyBorder="1" applyAlignment="1" applyProtection="1">
      <alignment horizontal="left" vertical="center"/>
      <protection hidden="1"/>
    </xf>
    <xf numFmtId="14" fontId="79" fillId="50" borderId="12" xfId="87" applyNumberFormat="1" applyFont="1" applyFill="1" applyBorder="1" applyAlignment="1">
      <alignment horizontal="center" vertical="center"/>
    </xf>
    <xf numFmtId="0" fontId="79" fillId="50" borderId="14" xfId="87" applyFont="1" applyFill="1" applyBorder="1" applyAlignment="1">
      <alignment horizontal="center" vertical="center"/>
    </xf>
    <xf numFmtId="0" fontId="62" fillId="0" borderId="20" xfId="87" applyFont="1" applyBorder="1" applyAlignment="1" applyProtection="1">
      <alignment horizontal="center" vertical="center"/>
      <protection hidden="1"/>
    </xf>
    <xf numFmtId="0" fontId="62" fillId="0" borderId="39" xfId="87" applyFont="1" applyBorder="1" applyAlignment="1" applyProtection="1">
      <alignment horizontal="center" vertical="center"/>
      <protection hidden="1"/>
    </xf>
    <xf numFmtId="0" fontId="62" fillId="0" borderId="67" xfId="87" applyFont="1" applyBorder="1" applyAlignment="1" applyProtection="1">
      <alignment horizontal="center" vertical="center"/>
      <protection hidden="1"/>
    </xf>
    <xf numFmtId="0" fontId="62" fillId="47" borderId="38" xfId="87" applyFont="1" applyFill="1" applyBorder="1" applyAlignment="1" applyProtection="1">
      <alignment horizontal="center" vertical="center"/>
      <protection hidden="1"/>
    </xf>
    <xf numFmtId="0" fontId="62" fillId="47" borderId="70" xfId="87" applyFont="1" applyFill="1" applyBorder="1" applyAlignment="1" applyProtection="1">
      <alignment horizontal="center" vertical="center"/>
      <protection hidden="1"/>
    </xf>
    <xf numFmtId="165" fontId="13" fillId="26" borderId="12" xfId="53" applyNumberFormat="1" applyFont="1" applyFill="1" applyBorder="1" applyAlignment="1">
      <alignment horizontal="center"/>
    </xf>
    <xf numFmtId="165" fontId="13" fillId="26" borderId="14" xfId="53" applyNumberFormat="1" applyFont="1" applyFill="1" applyBorder="1" applyAlignment="1">
      <alignment horizontal="center"/>
    </xf>
    <xf numFmtId="0" fontId="100" fillId="29" borderId="0" xfId="53" applyFont="1" applyFill="1" applyAlignment="1">
      <alignment horizontal="center"/>
    </xf>
    <xf numFmtId="0" fontId="128" fillId="29" borderId="0" xfId="53" applyFont="1" applyFill="1" applyAlignment="1">
      <alignment horizontal="center"/>
    </xf>
    <xf numFmtId="14" fontId="100" fillId="29" borderId="0" xfId="53" applyNumberFormat="1" applyFont="1" applyFill="1" applyAlignment="1">
      <alignment horizontal="center"/>
    </xf>
    <xf numFmtId="0" fontId="96" fillId="29" borderId="0" xfId="53" applyFont="1" applyFill="1" applyAlignment="1">
      <alignment horizontal="center"/>
    </xf>
    <xf numFmtId="10" fontId="95" fillId="29" borderId="0" xfId="53" applyNumberFormat="1" applyFont="1" applyFill="1" applyAlignment="1">
      <alignment horizontal="center"/>
    </xf>
    <xf numFmtId="0" fontId="35" fillId="29" borderId="12" xfId="53" applyFill="1" applyBorder="1" applyAlignment="1">
      <alignment horizontal="center"/>
    </xf>
    <xf numFmtId="0" fontId="35" fillId="29" borderId="13" xfId="53" applyFill="1" applyBorder="1" applyAlignment="1">
      <alignment horizontal="center"/>
    </xf>
    <xf numFmtId="0" fontId="35" fillId="29" borderId="14" xfId="53" applyFill="1" applyBorder="1" applyAlignment="1">
      <alignment horizontal="center"/>
    </xf>
    <xf numFmtId="0" fontId="35" fillId="32" borderId="12" xfId="53" applyFill="1" applyBorder="1" applyAlignment="1">
      <alignment horizontal="center"/>
    </xf>
    <xf numFmtId="0" fontId="35" fillId="32" borderId="13" xfId="53" applyFill="1" applyBorder="1" applyAlignment="1">
      <alignment horizontal="center"/>
    </xf>
    <xf numFmtId="0" fontId="35" fillId="0" borderId="12" xfId="53" applyBorder="1" applyAlignment="1">
      <alignment horizontal="center"/>
    </xf>
    <xf numFmtId="0" fontId="35" fillId="0" borderId="14" xfId="53" applyBorder="1" applyAlignment="1">
      <alignment horizontal="center"/>
    </xf>
    <xf numFmtId="0" fontId="35" fillId="32" borderId="25" xfId="53" applyFill="1" applyBorder="1" applyAlignment="1">
      <alignment horizontal="center"/>
    </xf>
    <xf numFmtId="0" fontId="35" fillId="32" borderId="26" xfId="53" applyFill="1" applyBorder="1" applyAlignment="1">
      <alignment horizontal="center"/>
    </xf>
    <xf numFmtId="0" fontId="129" fillId="29" borderId="0" xfId="53" applyFont="1" applyFill="1" applyAlignment="1">
      <alignment horizontal="center"/>
    </xf>
    <xf numFmtId="10" fontId="100" fillId="29" borderId="0" xfId="53" applyNumberFormat="1" applyFont="1" applyFill="1" applyAlignment="1">
      <alignment horizontal="center"/>
    </xf>
    <xf numFmtId="0" fontId="130" fillId="29" borderId="0" xfId="53" applyFont="1" applyFill="1" applyAlignment="1">
      <alignment horizontal="center"/>
    </xf>
    <xf numFmtId="0" fontId="35" fillId="32" borderId="14" xfId="53" applyFill="1" applyBorder="1" applyAlignment="1">
      <alignment horizontal="center"/>
    </xf>
  </cellXfs>
  <cellStyles count="88">
    <cellStyle name="20% - Ênfase1" xfId="1" builtinId="30" customBuiltin="1"/>
    <cellStyle name="20% - Ênfase2" xfId="2" builtinId="34" customBuiltin="1"/>
    <cellStyle name="20% - Ênfase3" xfId="3" builtinId="38" customBuiltin="1"/>
    <cellStyle name="20% - Ênfase4" xfId="4" builtinId="42" customBuiltin="1"/>
    <cellStyle name="20% - Ênfase5" xfId="5" builtinId="46" customBuiltin="1"/>
    <cellStyle name="20% - Ênfase6" xfId="6" builtinId="50" customBuiltin="1"/>
    <cellStyle name="40% - Ênfase1" xfId="7" builtinId="31" customBuiltin="1"/>
    <cellStyle name="40% - Ênfase2" xfId="8" builtinId="35" customBuiltin="1"/>
    <cellStyle name="40% - Ênfase3" xfId="9" builtinId="39" customBuiltin="1"/>
    <cellStyle name="40% - Ênfase4" xfId="10" builtinId="43" customBuiltin="1"/>
    <cellStyle name="40% - Ênfase5" xfId="11" builtinId="47" customBuiltin="1"/>
    <cellStyle name="40% - Ênfase6" xfId="12" builtinId="51" customBuiltin="1"/>
    <cellStyle name="60% - Ênfase1" xfId="13" builtinId="32" customBuiltin="1"/>
    <cellStyle name="60% - Ênfase2" xfId="14" builtinId="36" customBuiltin="1"/>
    <cellStyle name="60% - Ênfase3" xfId="15" builtinId="40" customBuiltin="1"/>
    <cellStyle name="60% - Ênfase4" xfId="16" builtinId="44" customBuiltin="1"/>
    <cellStyle name="60% - Ênfase5" xfId="17" builtinId="48" customBuiltin="1"/>
    <cellStyle name="60% - Ênfase6" xfId="18" builtinId="52" customBuiltin="1"/>
    <cellStyle name="Bom" xfId="19" builtinId="26" customBuiltin="1"/>
    <cellStyle name="Cálculo" xfId="20" builtinId="22" customBuiltin="1"/>
    <cellStyle name="Célula de Verificação" xfId="21" builtinId="23" customBuiltin="1"/>
    <cellStyle name="Célula Vinculada" xfId="22" builtinId="24" customBuiltin="1"/>
    <cellStyle name="Ênfase1" xfId="23" builtinId="29" customBuiltin="1"/>
    <cellStyle name="Ênfase2" xfId="24" builtinId="33" customBuiltin="1"/>
    <cellStyle name="Ênfase3" xfId="25" builtinId="37" customBuiltin="1"/>
    <cellStyle name="Ênfase4" xfId="26" builtinId="41" customBuiltin="1"/>
    <cellStyle name="Ênfase5" xfId="27" builtinId="45" customBuiltin="1"/>
    <cellStyle name="Ênfase6" xfId="28" builtinId="49" customBuiltin="1"/>
    <cellStyle name="Entrada" xfId="29" builtinId="20" customBuiltin="1"/>
    <cellStyle name="Hiperlink" xfId="30" builtinId="8"/>
    <cellStyle name="Hiperlink 2" xfId="31" xr:uid="{00000000-0005-0000-0000-00001E000000}"/>
    <cellStyle name="Hiperlink 2 2" xfId="60" xr:uid="{00000000-0005-0000-0000-00001F000000}"/>
    <cellStyle name="Moeda" xfId="32" builtinId="4"/>
    <cellStyle name="Neutro" xfId="33" builtinId="28" customBuiltin="1"/>
    <cellStyle name="Normal" xfId="0" builtinId="0"/>
    <cellStyle name="Normal 2" xfId="34" xr:uid="{00000000-0005-0000-0000-000024000000}"/>
    <cellStyle name="Normal 2 2" xfId="54" xr:uid="{00000000-0005-0000-0000-000025000000}"/>
    <cellStyle name="Normal 2 2 2" xfId="55" xr:uid="{00000000-0005-0000-0000-000026000000}"/>
    <cellStyle name="Normal 2 2 2 2" xfId="62" xr:uid="{00000000-0005-0000-0000-000027000000}"/>
    <cellStyle name="Normal 2 2 2 2 2" xfId="64" xr:uid="{00000000-0005-0000-0000-000028000000}"/>
    <cellStyle name="Normal 2 2 2 2 2 2" xfId="68" xr:uid="{00000000-0005-0000-0000-000029000000}"/>
    <cellStyle name="Normal 2 2 2 2 2 3" xfId="81" xr:uid="{00000000-0005-0000-0000-00002A000000}"/>
    <cellStyle name="Normal 3" xfId="35" xr:uid="{00000000-0005-0000-0000-00002B000000}"/>
    <cellStyle name="Normal 3 2" xfId="56" xr:uid="{00000000-0005-0000-0000-00002C000000}"/>
    <cellStyle name="Normal 3 2 2" xfId="61" xr:uid="{00000000-0005-0000-0000-00002D000000}"/>
    <cellStyle name="Normal 3 2 2 2" xfId="65" xr:uid="{00000000-0005-0000-0000-00002E000000}"/>
    <cellStyle name="Normal 3 2 2 2 2" xfId="82" xr:uid="{00000000-0005-0000-0000-00002F000000}"/>
    <cellStyle name="Normal 3 2 2 3" xfId="66" xr:uid="{00000000-0005-0000-0000-000030000000}"/>
    <cellStyle name="Normal 3 2 2 3 2" xfId="69" xr:uid="{00000000-0005-0000-0000-000031000000}"/>
    <cellStyle name="Normal 3 2 2 3 2 2" xfId="85" xr:uid="{00000000-0005-0000-0000-000032000000}"/>
    <cellStyle name="Normal 3 2 2 3 3" xfId="79" xr:uid="{00000000-0005-0000-0000-000033000000}"/>
    <cellStyle name="Normal 3 2 2 4" xfId="77" xr:uid="{00000000-0005-0000-0000-000034000000}"/>
    <cellStyle name="Normal 3 2 3" xfId="75" xr:uid="{00000000-0005-0000-0000-000035000000}"/>
    <cellStyle name="Normal 3 3" xfId="58" xr:uid="{00000000-0005-0000-0000-000036000000}"/>
    <cellStyle name="Normal 3 3 2" xfId="76" xr:uid="{00000000-0005-0000-0000-000037000000}"/>
    <cellStyle name="Normal 3 4" xfId="73" xr:uid="{00000000-0005-0000-0000-000038000000}"/>
    <cellStyle name="Normal 4" xfId="49" xr:uid="{00000000-0005-0000-0000-000039000000}"/>
    <cellStyle name="Normal 4 2" xfId="53" xr:uid="{00000000-0005-0000-0000-00003A000000}"/>
    <cellStyle name="Normal 5" xfId="52" xr:uid="{00000000-0005-0000-0000-00003B000000}"/>
    <cellStyle name="Normal 6" xfId="57" xr:uid="{00000000-0005-0000-0000-00003C000000}"/>
    <cellStyle name="Normal 6 2" xfId="59" xr:uid="{00000000-0005-0000-0000-00003D000000}"/>
    <cellStyle name="Normal 6 3" xfId="63" xr:uid="{00000000-0005-0000-0000-00003E000000}"/>
    <cellStyle name="Normal 6 3 2" xfId="83" xr:uid="{00000000-0005-0000-0000-00003F000000}"/>
    <cellStyle name="Normal 6 4" xfId="67" xr:uid="{00000000-0005-0000-0000-000040000000}"/>
    <cellStyle name="Normal 6 4 2" xfId="70" xr:uid="{00000000-0005-0000-0000-000041000000}"/>
    <cellStyle name="Normal 6 4 2 2" xfId="86" xr:uid="{00000000-0005-0000-0000-000042000000}"/>
    <cellStyle name="Normal 6 4 3" xfId="80" xr:uid="{00000000-0005-0000-0000-000043000000}"/>
    <cellStyle name="Normal 6 5" xfId="78" xr:uid="{00000000-0005-0000-0000-000044000000}"/>
    <cellStyle name="Normal 7" xfId="71" xr:uid="{00000000-0005-0000-0000-000045000000}"/>
    <cellStyle name="Normal 7 2" xfId="84" xr:uid="{00000000-0005-0000-0000-000046000000}"/>
    <cellStyle name="Normal 8" xfId="72" xr:uid="{00000000-0005-0000-0000-000047000000}"/>
    <cellStyle name="Normal 9" xfId="87" xr:uid="{00000000-0005-0000-0000-000048000000}"/>
    <cellStyle name="Nota" xfId="36" builtinId="10" customBuiltin="1"/>
    <cellStyle name="Porcentagem 2" xfId="37" xr:uid="{00000000-0005-0000-0000-00004A000000}"/>
    <cellStyle name="Porcentagem 2 2" xfId="74" xr:uid="{00000000-0005-0000-0000-00004B000000}"/>
    <cellStyle name="Porcentagem 3" xfId="51" xr:uid="{00000000-0005-0000-0000-00004C000000}"/>
    <cellStyle name="Ruim" xfId="38" builtinId="27" customBuiltin="1"/>
    <cellStyle name="Saída" xfId="39" builtinId="21" customBuiltin="1"/>
    <cellStyle name="Texto de Aviso" xfId="40" builtinId="11" customBuiltin="1"/>
    <cellStyle name="Texto Explicativo" xfId="41" builtinId="53" customBuiltin="1"/>
    <cellStyle name="Título" xfId="42" builtinId="15" customBuiltin="1"/>
    <cellStyle name="Título 1" xfId="43" builtinId="16" customBuiltin="1"/>
    <cellStyle name="Título 2" xfId="44" builtinId="17" customBuiltin="1"/>
    <cellStyle name="Título 3" xfId="45" builtinId="18" customBuiltin="1"/>
    <cellStyle name="Título 4" xfId="46" builtinId="19" customBuiltin="1"/>
    <cellStyle name="Total" xfId="47" builtinId="25" customBuiltin="1"/>
    <cellStyle name="Vírgula" xfId="48" builtinId="3"/>
    <cellStyle name="Vírgula 2" xfId="50" xr:uid="{00000000-0005-0000-0000-000057000000}"/>
  </cellStyles>
  <dxfs count="4">
    <dxf>
      <font>
        <color theme="0"/>
      </font>
      <fill>
        <patternFill>
          <bgColor theme="0"/>
        </patternFill>
      </fill>
      <border>
        <vertical/>
        <horizontal/>
      </border>
    </dxf>
    <dxf>
      <font>
        <b/>
        <i val="0"/>
        <color theme="0"/>
      </font>
      <numFmt numFmtId="4" formatCode="#,##0.00"/>
      <fill>
        <patternFill>
          <bgColor rgb="FFFF0000"/>
        </patternFill>
      </fill>
    </dxf>
    <dxf>
      <font>
        <b/>
        <i val="0"/>
        <color theme="0"/>
      </font>
      <numFmt numFmtId="4" formatCode="#,##0.00"/>
      <fill>
        <patternFill>
          <bgColor rgb="FFFF0000"/>
        </patternFill>
      </fill>
    </dxf>
    <dxf>
      <font>
        <color rgb="FF9C0006"/>
      </font>
      <fill>
        <patternFill>
          <bgColor rgb="FFFFC7CE"/>
        </patternFill>
      </fill>
    </dxf>
  </dxfs>
  <tableStyles count="0" defaultTableStyle="TableStyleMedium2" defaultPivotStyle="PivotStyleLight16"/>
  <colors>
    <mruColors>
      <color rgb="FFB2B2B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8" Type="http://schemas.openxmlformats.org/officeDocument/2006/relationships/hyperlink" Target="http://www.asaas.com" TargetMode="External"/><Relationship Id="rId3" Type="http://schemas.openxmlformats.org/officeDocument/2006/relationships/hyperlink" Target="https://empresas.serasaexperian.com.br/" TargetMode="External"/><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hyperlink" Target="https://www.nfse.gov.br/EmissorNacional/" TargetMode="External"/><Relationship Id="rId6" Type="http://schemas.openxmlformats.org/officeDocument/2006/relationships/image" Target="../media/image9.jpeg"/><Relationship Id="rId5" Type="http://schemas.openxmlformats.org/officeDocument/2006/relationships/hyperlink" Target="http://www.bydesigner.com.br" TargetMode="External"/><Relationship Id="rId4" Type="http://schemas.openxmlformats.org/officeDocument/2006/relationships/image" Target="../media/image8.png"/><Relationship Id="rId9" Type="http://schemas.openxmlformats.org/officeDocument/2006/relationships/image" Target="../media/image1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oneCellAnchor>
    <xdr:from>
      <xdr:col>4</xdr:col>
      <xdr:colOff>82825</xdr:colOff>
      <xdr:row>67</xdr:row>
      <xdr:rowOff>0</xdr:rowOff>
    </xdr:from>
    <xdr:ext cx="157371" cy="45719"/>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1565412" y="10829346"/>
          <a:ext cx="157371"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a:t>Eu, declaro para os devidos fins que conferi a entrega da montagem do(s) produto(s) citado(s) abaixo junto co o repreentante técnico(a) da empresa supra citada, Sr(a) Marcus Vinícius, CPF 010.573.687-25, não tendo encontrado nenhum defeito de montagem ou dos produtos adquiridos. Tal conferência foi realizada levando em consideração a integridade do produto concordado (Projeto de Dormitório de Solteiro) não tendo sido alterado posteriormente ou neste caso, alterado com minha total permissão. Do pleno funcionamento dos equipamentos metálicos, das medidas conforme projetadas, das cores e acabamentos selecionados, entre outros. Portanto, declaro estar totalmente satisfeito(a) com a realização dos serviços prestados que foram realizados na data informada abaixo. RIO DE JANEIRO, RJ, 24 DE AGOSTO DE 2023. ___________________________________________________________________ CLIENTE: LUIS CARLOS OLIVEIRA DA SILVA</a:t>
          </a:r>
          <a:endParaRPr lang="pt-BR" sz="1100"/>
        </a:p>
      </xdr:txBody>
    </xdr:sp>
    <xdr:clientData/>
  </xdr:oneCellAnchor>
  <xdr:oneCellAnchor>
    <xdr:from>
      <xdr:col>4</xdr:col>
      <xdr:colOff>82825</xdr:colOff>
      <xdr:row>67</xdr:row>
      <xdr:rowOff>0</xdr:rowOff>
    </xdr:from>
    <xdr:ext cx="157371" cy="45719"/>
    <xdr:sp macro="" textlink="">
      <xdr:nvSpPr>
        <xdr:cNvPr id="5" name="CaixaDeTexto 4">
          <a:extLst>
            <a:ext uri="{FF2B5EF4-FFF2-40B4-BE49-F238E27FC236}">
              <a16:creationId xmlns:a16="http://schemas.microsoft.com/office/drawing/2014/main" id="{00000000-0008-0000-0000-000005000000}"/>
            </a:ext>
          </a:extLst>
        </xdr:cNvPr>
        <xdr:cNvSpPr txBox="1"/>
      </xdr:nvSpPr>
      <xdr:spPr>
        <a:xfrm>
          <a:off x="1530625" y="10477500"/>
          <a:ext cx="157371"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a:t>Eu, declaro para os devidos fins que conferi a entrega da montagem do(s) produto(s) citado(s) abaixo junto co o repreentante técnico(a) da empresa supra citada, Sr(a) Marcus Vinícius, CPF 010.573.687-25, não tendo encontrado nenhum defeito de montagem ou dos produtos adquiridos. Tal conferência foi realizada levando em consideração a integridade do produto concordado (Projeto de Dormitório de Solteiro) não tendo sido alterado posteriormente ou neste caso, alterado com minha total permissão. Do pleno funcionamento dos equipamentos metálicos, das medidas conforme projetadas, das cores e acabamentos selecionados, entre outros. Portanto, declaro estar totalmente satisfeito(a) com a realização dos serviços prestados que foram realizados na data informada abaixo. RIO DE JANEIRO, RJ, 24 DE AGOSTO DE 2023. ___________________________________________________________________ CLIENTE: LUIS CARLOS OLIVEIRA DA SILVA</a:t>
          </a:r>
          <a:endParaRPr lang="pt-BR"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82825</xdr:colOff>
      <xdr:row>65</xdr:row>
      <xdr:rowOff>0</xdr:rowOff>
    </xdr:from>
    <xdr:ext cx="157371" cy="45719"/>
    <xdr:sp macro="" textlink="">
      <xdr:nvSpPr>
        <xdr:cNvPr id="2" name="CaixaDeTexto 1">
          <a:extLst>
            <a:ext uri="{FF2B5EF4-FFF2-40B4-BE49-F238E27FC236}">
              <a16:creationId xmlns:a16="http://schemas.microsoft.com/office/drawing/2014/main" id="{00000000-0008-0000-0300-000002000000}"/>
            </a:ext>
          </a:extLst>
        </xdr:cNvPr>
        <xdr:cNvSpPr txBox="1"/>
      </xdr:nvSpPr>
      <xdr:spPr>
        <a:xfrm>
          <a:off x="1844950" y="10944225"/>
          <a:ext cx="157371"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a:t>Eu, declaro para os devidos fins que conferi a entrega da montagem do(s) produto(s) citado(s) abaixo junto co o repreentante técnico(a) da empresa supra citada, Sr(a) Marcus Vinícius, CPF 010.573.687-25, não tendo encontrado nenhum defeito de montagem ou dos produtos adquiridos. Tal conferência foi realizada levando em consideração a integridade do produto concordado (Projeto de Dormitório de Solteiro) não tendo sido alterado posteriormente ou neste caso, alterado com minha total permissão. Do pleno funcionamento dos equipamentos metálicos, das medidas conforme projetadas, das cores e acabamentos selecionados, entre outros. Portanto, declaro estar totalmente satisfeito(a) com a realização dos serviços prestados que foram realizados na data informada abaixo. RIO DE JANEIRO, RJ, 24 DE AGOSTO DE 2023. ___________________________________________________________________ CLIENTE: LUIS CARLOS OLIVEIRA DA SILVA</a:t>
          </a:r>
          <a:endParaRPr lang="pt-BR" sz="1100"/>
        </a:p>
      </xdr:txBody>
    </xdr:sp>
    <xdr:clientData/>
  </xdr:oneCellAnchor>
  <mc:AlternateContent xmlns:mc="http://schemas.openxmlformats.org/markup-compatibility/2006">
    <mc:Choice xmlns:a14="http://schemas.microsoft.com/office/drawing/2010/main" Requires="a14">
      <xdr:twoCellAnchor editAs="oneCell">
        <xdr:from>
          <xdr:col>12</xdr:col>
          <xdr:colOff>28575</xdr:colOff>
          <xdr:row>58</xdr:row>
          <xdr:rowOff>28575</xdr:rowOff>
        </xdr:from>
        <xdr:to>
          <xdr:col>13</xdr:col>
          <xdr:colOff>38100</xdr:colOff>
          <xdr:row>59</xdr:row>
          <xdr:rowOff>47624</xdr:rowOff>
        </xdr:to>
        <xdr:pic>
          <xdr:nvPicPr>
            <xdr:cNvPr id="4" name="Imagem 3">
              <a:extLst>
                <a:ext uri="{FF2B5EF4-FFF2-40B4-BE49-F238E27FC236}">
                  <a16:creationId xmlns:a16="http://schemas.microsoft.com/office/drawing/2014/main" id="{00000000-0008-0000-0300-000004000000}"/>
                </a:ext>
              </a:extLst>
            </xdr:cNvPr>
            <xdr:cNvPicPr>
              <a:picLocks noChangeAspect="1" noChangeArrowheads="1"/>
              <a:extLst>
                <a:ext uri="{84589F7E-364E-4C9E-8A38-B11213B215E9}">
                  <a14:cameraTool cellRange="$M$67" spid="_x0000_s51837"/>
                </a:ext>
              </a:extLst>
            </xdr:cNvPicPr>
          </xdr:nvPicPr>
          <xdr:blipFill>
            <a:blip xmlns:r="http://schemas.openxmlformats.org/officeDocument/2006/relationships" r:embed="rId1"/>
            <a:srcRect/>
            <a:stretch>
              <a:fillRect/>
            </a:stretch>
          </xdr:blipFill>
          <xdr:spPr bwMode="auto">
            <a:xfrm>
              <a:off x="7296150" y="9906000"/>
              <a:ext cx="619125" cy="1714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488950</xdr:colOff>
          <xdr:row>397</xdr:row>
          <xdr:rowOff>152400</xdr:rowOff>
        </xdr:from>
        <xdr:to>
          <xdr:col>20</xdr:col>
          <xdr:colOff>520700</xdr:colOff>
          <xdr:row>405</xdr:row>
          <xdr:rowOff>146050</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5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488950</xdr:colOff>
          <xdr:row>397</xdr:row>
          <xdr:rowOff>152400</xdr:rowOff>
        </xdr:from>
        <xdr:to>
          <xdr:col>20</xdr:col>
          <xdr:colOff>527050</xdr:colOff>
          <xdr:row>405</xdr:row>
          <xdr:rowOff>146050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5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6</xdr:row>
          <xdr:rowOff>38100</xdr:rowOff>
        </xdr:from>
        <xdr:to>
          <xdr:col>12</xdr:col>
          <xdr:colOff>69850</xdr:colOff>
          <xdr:row>38</xdr:row>
          <xdr:rowOff>0</xdr:rowOff>
        </xdr:to>
        <xdr:sp macro="" textlink="">
          <xdr:nvSpPr>
            <xdr:cNvPr id="13315" name="Object 3" hidden="1">
              <a:extLst>
                <a:ext uri="{63B3BB69-23CF-44E3-9099-C40C66FF867C}">
                  <a14:compatExt spid="_x0000_s13315"/>
                </a:ext>
                <a:ext uri="{FF2B5EF4-FFF2-40B4-BE49-F238E27FC236}">
                  <a16:creationId xmlns:a16="http://schemas.microsoft.com/office/drawing/2014/main" id="{00000000-0008-0000-06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474162</xdr:colOff>
      <xdr:row>6</xdr:row>
      <xdr:rowOff>64110</xdr:rowOff>
    </xdr:from>
    <xdr:to>
      <xdr:col>19</xdr:col>
      <xdr:colOff>420944</xdr:colOff>
      <xdr:row>32</xdr:row>
      <xdr:rowOff>136572</xdr:rowOff>
    </xdr:to>
    <xdr:pic>
      <xdr:nvPicPr>
        <xdr:cNvPr id="5" name="Imagem 4" descr="Garantia Png Imagens – Download Grátis no Freepik">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0256" y="2088173"/>
          <a:ext cx="5542719" cy="4406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196849</xdr:colOff>
      <xdr:row>55</xdr:row>
      <xdr:rowOff>19050</xdr:rowOff>
    </xdr:from>
    <xdr:ext cx="6575425" cy="1438276"/>
    <xdr:sp macro="" textlink="">
      <xdr:nvSpPr>
        <xdr:cNvPr id="3" name="CaixaDeTexto 2">
          <a:extLst>
            <a:ext uri="{FF2B5EF4-FFF2-40B4-BE49-F238E27FC236}">
              <a16:creationId xmlns:a16="http://schemas.microsoft.com/office/drawing/2014/main" id="{00000000-0008-0000-0A00-000003000000}"/>
            </a:ext>
          </a:extLst>
        </xdr:cNvPr>
        <xdr:cNvSpPr txBox="1"/>
      </xdr:nvSpPr>
      <xdr:spPr>
        <a:xfrm>
          <a:off x="311149" y="8982075"/>
          <a:ext cx="6575425" cy="14382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100">
              <a:solidFill>
                <a:schemeClr val="tx1"/>
              </a:solidFill>
              <a:effectLst/>
              <a:latin typeface="+mn-lt"/>
              <a:ea typeface="+mn-ea"/>
              <a:cs typeface="+mn-cs"/>
            </a:rPr>
            <a:t>  Eu, declaro para os devidos fins que conferi a entrega da montagem do(s) produto(s) citado(s) abaixo junto com o  representante   técnico(a) da contratada supra citada,  não  tendo  encontrado  nenhum  de feito  de montagem ou dos produtos adquiridos. Tal conferência foi realizada levando em consideração a integridade do produto adquiridos.</a:t>
          </a:r>
        </a:p>
        <a:p>
          <a:r>
            <a:rPr lang="pt-BR" sz="1100">
              <a:solidFill>
                <a:schemeClr val="tx1"/>
              </a:solidFill>
              <a:effectLst/>
              <a:latin typeface="+mn-lt"/>
              <a:ea typeface="+mn-ea"/>
              <a:cs typeface="+mn-cs"/>
            </a:rPr>
            <a:t>  Do  pleno  funcionamento  dos  equipamentos  metálicos,  das  medidas  conforme  projetadas, das cores e acabamentos selecionados, entre outros. Portanto, declaro estar totalmente satisfeito(a)  com  a  realização</a:t>
          </a:r>
        </a:p>
        <a:p>
          <a:r>
            <a:rPr lang="pt-BR" sz="1100">
              <a:solidFill>
                <a:schemeClr val="tx1"/>
              </a:solidFill>
              <a:effectLst/>
              <a:latin typeface="+mn-lt"/>
              <a:ea typeface="+mn-ea"/>
              <a:cs typeface="+mn-cs"/>
            </a:rPr>
            <a:t> dos serviços prestados,</a:t>
          </a:r>
          <a:r>
            <a:rPr lang="pt-BR" sz="1100" baseline="0">
              <a:solidFill>
                <a:schemeClr val="tx1"/>
              </a:solidFill>
              <a:effectLst/>
              <a:latin typeface="+mn-lt"/>
              <a:ea typeface="+mn-ea"/>
              <a:cs typeface="+mn-cs"/>
            </a:rPr>
            <a:t> dando plena e raza quitação do serviço, caso não haja observações dos ambientes</a:t>
          </a:r>
          <a:r>
            <a:rPr lang="pt-BR" sz="1100">
              <a:solidFill>
                <a:schemeClr val="tx1"/>
              </a:solidFill>
              <a:effectLst/>
              <a:latin typeface="+mn-lt"/>
              <a:ea typeface="+mn-ea"/>
              <a:cs typeface="+mn-cs"/>
            </a:rPr>
            <a:t>.</a:t>
          </a:r>
          <a:endParaRPr lang="pt-BR" sz="1100"/>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9</xdr:col>
      <xdr:colOff>28574</xdr:colOff>
      <xdr:row>18</xdr:row>
      <xdr:rowOff>28575</xdr:rowOff>
    </xdr:from>
    <xdr:to>
      <xdr:col>9</xdr:col>
      <xdr:colOff>1628775</xdr:colOff>
      <xdr:row>19</xdr:row>
      <xdr:rowOff>216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9363074" y="3695700"/>
          <a:ext cx="1600201" cy="219291"/>
        </a:xfrm>
        <a:prstGeom prst="rect">
          <a:avLst/>
        </a:prstGeom>
      </xdr:spPr>
    </xdr:pic>
    <xdr:clientData/>
  </xdr:twoCellAnchor>
  <xdr:twoCellAnchor editAs="oneCell">
    <xdr:from>
      <xdr:col>9</xdr:col>
      <xdr:colOff>28576</xdr:colOff>
      <xdr:row>18</xdr:row>
      <xdr:rowOff>323850</xdr:rowOff>
    </xdr:from>
    <xdr:to>
      <xdr:col>9</xdr:col>
      <xdr:colOff>1590676</xdr:colOff>
      <xdr:row>20</xdr:row>
      <xdr:rowOff>12761</xdr:rowOff>
    </xdr:to>
    <xdr:pic>
      <xdr:nvPicPr>
        <xdr:cNvPr id="3" name="Imagem 2">
          <a:hlinkClick xmlns:r="http://schemas.openxmlformats.org/officeDocument/2006/relationships" r:id="rId3"/>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363076" y="3914775"/>
          <a:ext cx="1562100" cy="260411"/>
        </a:xfrm>
        <a:prstGeom prst="rect">
          <a:avLst/>
        </a:prstGeom>
      </xdr:spPr>
    </xdr:pic>
    <xdr:clientData/>
  </xdr:twoCellAnchor>
  <xdr:twoCellAnchor editAs="oneCell">
    <xdr:from>
      <xdr:col>9</xdr:col>
      <xdr:colOff>38100</xdr:colOff>
      <xdr:row>21</xdr:row>
      <xdr:rowOff>9525</xdr:rowOff>
    </xdr:from>
    <xdr:to>
      <xdr:col>9</xdr:col>
      <xdr:colOff>1628775</xdr:colOff>
      <xdr:row>22</xdr:row>
      <xdr:rowOff>0</xdr:rowOff>
    </xdr:to>
    <xdr:pic>
      <xdr:nvPicPr>
        <xdr:cNvPr id="4" name="Imagem 3">
          <a:hlinkClick xmlns:r="http://schemas.openxmlformats.org/officeDocument/2006/relationships" r:id="rId5"/>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372600" y="4419600"/>
          <a:ext cx="1590675" cy="219075"/>
        </a:xfrm>
        <a:prstGeom prst="rect">
          <a:avLst/>
        </a:prstGeom>
      </xdr:spPr>
    </xdr:pic>
    <xdr:clientData/>
  </xdr:twoCellAnchor>
  <xdr:twoCellAnchor editAs="oneCell">
    <xdr:from>
      <xdr:col>8</xdr:col>
      <xdr:colOff>1847617</xdr:colOff>
      <xdr:row>17</xdr:row>
      <xdr:rowOff>4646</xdr:rowOff>
    </xdr:from>
    <xdr:to>
      <xdr:col>9</xdr:col>
      <xdr:colOff>1654098</xdr:colOff>
      <xdr:row>18</xdr:row>
      <xdr:rowOff>0</xdr:rowOff>
    </xdr:to>
    <xdr:pic>
      <xdr:nvPicPr>
        <xdr:cNvPr id="5" name="Imagem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334267" y="3424121"/>
          <a:ext cx="1654331" cy="243004"/>
        </a:xfrm>
        <a:prstGeom prst="rect">
          <a:avLst/>
        </a:prstGeom>
      </xdr:spPr>
    </xdr:pic>
    <xdr:clientData/>
  </xdr:twoCellAnchor>
  <xdr:twoCellAnchor editAs="oneCell">
    <xdr:from>
      <xdr:col>9</xdr:col>
      <xdr:colOff>19050</xdr:colOff>
      <xdr:row>20</xdr:row>
      <xdr:rowOff>28575</xdr:rowOff>
    </xdr:from>
    <xdr:to>
      <xdr:col>9</xdr:col>
      <xdr:colOff>1638300</xdr:colOff>
      <xdr:row>20</xdr:row>
      <xdr:rowOff>219073</xdr:rowOff>
    </xdr:to>
    <xdr:pic>
      <xdr:nvPicPr>
        <xdr:cNvPr id="6" name="Imagem 5">
          <a:hlinkClick xmlns:r="http://schemas.openxmlformats.org/officeDocument/2006/relationships" r:id="rId8"/>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353550" y="4191000"/>
          <a:ext cx="1619250" cy="1904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NERI/Desktop/Sisbrasil/3%20Sistemacerto%201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Users/NERI/Desktop/Curso%20VBA/1%20Atual%20Ficha%20Cadastr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NERI/Desktop/Curso%20VBA/original2%20Controle%20de%20loj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NERI/Desktop/Curso%20VBA/Pasta%202025%20ATual/3%20Sistema.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d.docs.live.net/09b801b1a33cad9e/&#193;rea%20de%20Trabalho/%5eNSisBrasil/01%20ByDesigner%20ok/%5eN%2001%20Sistema%20Bydesigner.xlsx" TargetMode="External"/><Relationship Id="rId1" Type="http://schemas.openxmlformats.org/officeDocument/2006/relationships/externalLinkPath" Target="https://d.docs.live.net/09b801b1a33cad9e/&#193;rea%20de%20Trabalho/Pasta%20Bentz%20Videos/%5eNSisBrasil/01%20ByDesigner%20ok/%5eN%2001%20Sistema%20Bydesign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Users/NERI/Desktop/Curso%20VBA/2%20Controle%20de%20loj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NERI/Desktop/bydesigner/3%20Sistem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NERI/Desktop/Sisbrasil/1%20Ficha%20Cadastr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Users/NERI/Desktop/Sisbrasil/3%20Sistem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docs.live.net/Users/NERI/Desktop/Sisbrasil/1%20Siste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 Lj"/>
      <sheetName val=" 0F email"/>
      <sheetName val="1F Cliente"/>
      <sheetName val="2F Proj."/>
      <sheetName val="3Orçto"/>
      <sheetName val="3.1Impressão"/>
      <sheetName val="4Contrato"/>
      <sheetName val="5CERT."/>
      <sheetName val="6Manut."/>
      <sheetName val="7Controle Vendedor"/>
      <sheetName val="14 Pers."/>
      <sheetName val="Losango 30"/>
      <sheetName val="Losango 60"/>
      <sheetName val="Losango 90"/>
      <sheetName val="Plan1"/>
      <sheetName val="Garantia"/>
    </sheetNames>
    <sheetDataSet>
      <sheetData sheetId="0" refreshError="1"/>
      <sheetData sheetId="1" refreshError="1"/>
      <sheetData sheetId="2" refreshError="1">
        <row r="4">
          <cell r="E4" t="str">
            <v>BMC ALBUQUERQUE LTDA</v>
          </cell>
        </row>
        <row r="12">
          <cell r="D12" t="str">
            <v>Antonio</v>
          </cell>
        </row>
        <row r="15">
          <cell r="G15">
            <v>831009072</v>
          </cell>
        </row>
        <row r="16">
          <cell r="E16" t="str">
            <v>RUA FABIO DA LUZ, 455/ CASA 20</v>
          </cell>
        </row>
        <row r="17">
          <cell r="B17" t="str">
            <v xml:space="preserve">   </v>
          </cell>
        </row>
        <row r="19">
          <cell r="G19" t="str">
            <v>Rio de Janeiro</v>
          </cell>
        </row>
        <row r="25">
          <cell r="G25" t="str">
            <v xml:space="preserve">  </v>
          </cell>
        </row>
      </sheetData>
      <sheetData sheetId="3" refreshError="1"/>
      <sheetData sheetId="4" refreshError="1">
        <row r="1">
          <cell r="X1">
            <v>46022</v>
          </cell>
        </row>
        <row r="4">
          <cell r="P4">
            <v>45702.693610879629</v>
          </cell>
        </row>
        <row r="7">
          <cell r="L7">
            <v>0.45</v>
          </cell>
          <cell r="P7">
            <v>0.1</v>
          </cell>
        </row>
      </sheetData>
      <sheetData sheetId="5" refreshError="1"/>
      <sheetData sheetId="6" refreshError="1">
        <row r="6">
          <cell r="K6">
            <v>45702</v>
          </cell>
        </row>
        <row r="14">
          <cell r="B14" t="str">
            <v>547.070.137-91</v>
          </cell>
        </row>
      </sheetData>
      <sheetData sheetId="7" refreshError="1"/>
      <sheetData sheetId="8" refreshError="1"/>
      <sheetData sheetId="9" refreshError="1"/>
      <sheetData sheetId="10" refreshError="1">
        <row r="12">
          <cell r="A12" t="str">
            <v>Bruno</v>
          </cell>
          <cell r="E12">
            <v>0</v>
          </cell>
          <cell r="K12">
            <v>0</v>
          </cell>
          <cell r="M12">
            <v>0</v>
          </cell>
        </row>
        <row r="13">
          <cell r="A13" t="str">
            <v>Lucyane</v>
          </cell>
          <cell r="E13" t="str">
            <v>Área de Serviço</v>
          </cell>
          <cell r="K13">
            <v>0.05</v>
          </cell>
          <cell r="M13">
            <v>0.02</v>
          </cell>
        </row>
        <row r="14">
          <cell r="A14" t="str">
            <v>Mariana</v>
          </cell>
          <cell r="E14" t="str">
            <v>Banheiro Social</v>
          </cell>
          <cell r="K14">
            <v>0.1</v>
          </cell>
          <cell r="M14">
            <v>0.04</v>
          </cell>
        </row>
        <row r="15">
          <cell r="A15" t="str">
            <v>Andressa</v>
          </cell>
          <cell r="E15" t="str">
            <v>Banheiro Suíte</v>
          </cell>
          <cell r="K15">
            <v>0.15</v>
          </cell>
          <cell r="M15">
            <v>0.05</v>
          </cell>
        </row>
        <row r="16">
          <cell r="A16" t="str">
            <v xml:space="preserve">  </v>
          </cell>
          <cell r="E16" t="str">
            <v>Copa</v>
          </cell>
          <cell r="K16">
            <v>0.2</v>
          </cell>
          <cell r="M16">
            <v>7.0000000000000007E-2</v>
          </cell>
        </row>
        <row r="17">
          <cell r="A17" t="str">
            <v xml:space="preserve">  </v>
          </cell>
          <cell r="E17" t="str">
            <v>Cozinha</v>
          </cell>
          <cell r="K17">
            <v>0.25</v>
          </cell>
          <cell r="M17">
            <v>0.1</v>
          </cell>
        </row>
        <row r="18">
          <cell r="A18">
            <v>0</v>
          </cell>
          <cell r="E18" t="str">
            <v>Cozinha/Qto/home/banheiro</v>
          </cell>
          <cell r="K18">
            <v>0.3</v>
          </cell>
        </row>
        <row r="19">
          <cell r="A19">
            <v>0</v>
          </cell>
          <cell r="E19" t="str">
            <v>Diversos</v>
          </cell>
          <cell r="K19">
            <v>0.33</v>
          </cell>
        </row>
        <row r="20">
          <cell r="E20" t="str">
            <v>Home</v>
          </cell>
          <cell r="K20">
            <v>0.36</v>
          </cell>
        </row>
        <row r="21">
          <cell r="E21" t="str">
            <v>Quarto Casal</v>
          </cell>
          <cell r="K21">
            <v>0.4</v>
          </cell>
        </row>
        <row r="22">
          <cell r="E22" t="str">
            <v>Quarto de Empregada</v>
          </cell>
          <cell r="K22">
            <v>0.42</v>
          </cell>
        </row>
        <row r="23">
          <cell r="E23" t="str">
            <v>Quarto solteiro</v>
          </cell>
          <cell r="K23">
            <v>0.45</v>
          </cell>
        </row>
        <row r="24">
          <cell r="E24" t="str">
            <v>Sala</v>
          </cell>
        </row>
        <row r="25">
          <cell r="E25">
            <v>0</v>
          </cell>
        </row>
        <row r="26">
          <cell r="E26">
            <v>0</v>
          </cell>
        </row>
        <row r="27">
          <cell r="E27">
            <v>0</v>
          </cell>
        </row>
        <row r="28">
          <cell r="E28">
            <v>0</v>
          </cell>
        </row>
      </sheetData>
      <sheetData sheetId="11" refreshError="1">
        <row r="100">
          <cell r="O100">
            <v>46022</v>
          </cell>
        </row>
        <row r="103">
          <cell r="O103">
            <v>0</v>
          </cell>
        </row>
      </sheetData>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 Lj"/>
      <sheetName val="Garantia"/>
      <sheetName val="F Ljneri"/>
    </sheetNames>
    <sheetDataSet>
      <sheetData sheetId="0">
        <row r="2">
          <cell r="E2" t="str">
            <v>Nº Bydesigner 110</v>
          </cell>
        </row>
        <row r="32">
          <cell r="B32" t="str">
            <v>1 - Adelir</v>
          </cell>
        </row>
        <row r="33">
          <cell r="B33" t="str">
            <v>2 - Marco Antônio</v>
          </cell>
        </row>
        <row r="34">
          <cell r="B34">
            <v>3</v>
          </cell>
        </row>
        <row r="35">
          <cell r="B35">
            <v>4</v>
          </cell>
        </row>
        <row r="36">
          <cell r="B36">
            <v>5</v>
          </cell>
        </row>
        <row r="37">
          <cell r="B37">
            <v>6</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 Lj"/>
      <sheetName val="1F Cliente Compra"/>
      <sheetName val="2F Proj."/>
      <sheetName val="3Orçto"/>
      <sheetName val="3.1Impressão"/>
      <sheetName val="4Contrato de Compra"/>
      <sheetName val="5 CERTIFICADO"/>
      <sheetName val="6 Manutençao Garantia"/>
      <sheetName val="7Controle de Orçamento"/>
      <sheetName val="Plan1"/>
      <sheetName val="Plan2"/>
      <sheetName val="Planilha1"/>
      <sheetName val="Planilha 2"/>
      <sheetName val="1 Resumo Venda"/>
      <sheetName val="2 PG Vendedor"/>
      <sheetName val="3 Ficha montagem"/>
      <sheetName val="4 PG Montador"/>
      <sheetName val="5 E-mail Compra Fabrica"/>
      <sheetName val="6 E-mail Transportadora"/>
      <sheetName val="7 Controle Pedidos "/>
      <sheetName val="8 Resumo Mês"/>
      <sheetName val="9 Resumo Ano"/>
      <sheetName val="14 Pers."/>
      <sheetName val="Listas"/>
      <sheetName val="Losango 30"/>
      <sheetName val="Losango 60"/>
      <sheetName val="Losango 9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4">
          <cell r="A4">
            <v>1</v>
          </cell>
        </row>
        <row r="100">
          <cell r="O100">
            <v>46022</v>
          </cell>
        </row>
        <row r="103">
          <cell r="O103">
            <v>8.0999999999999996E-3</v>
          </cell>
        </row>
        <row r="105">
          <cell r="K105">
            <v>8.0999999999999996E-3</v>
          </cell>
        </row>
      </sheetData>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 Lj"/>
      <sheetName val=" 0F email"/>
      <sheetName val="1F Cliente"/>
      <sheetName val="2F Proj."/>
      <sheetName val="3Orçto"/>
      <sheetName val="3.1Impressão"/>
      <sheetName val="4Contrato"/>
      <sheetName val="5CERT."/>
      <sheetName val="6Manut."/>
      <sheetName val="7Orçto Mês"/>
      <sheetName val="8PG Vd."/>
      <sheetName val="9PG Mt."/>
      <sheetName val="10Final Mt."/>
      <sheetName val="11Res. Vd"/>
      <sheetName val="12Res. Mês"/>
      <sheetName val="13 Res. Ano"/>
      <sheetName val="14 Pers."/>
      <sheetName val="Losango 30"/>
      <sheetName val="Losango 60"/>
      <sheetName val="Losango 90"/>
      <sheetName val="Plan1"/>
      <sheetName val="Garantia"/>
    </sheetNames>
    <sheetDataSet>
      <sheetData sheetId="0"/>
      <sheetData sheetId="1"/>
      <sheetData sheetId="2"/>
      <sheetData sheetId="3"/>
      <sheetData sheetId="4">
        <row r="1">
          <cell r="X1">
            <v>46022</v>
          </cell>
        </row>
        <row r="4">
          <cell r="P4">
            <v>45710.351610069447</v>
          </cell>
        </row>
        <row r="7">
          <cell r="L7">
            <v>0</v>
          </cell>
          <cell r="P7">
            <v>0</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F Lj"/>
      <sheetName val="14 Pers."/>
      <sheetName val="1FComprador"/>
      <sheetName val="2F Técnica"/>
      <sheetName val="3Orçto"/>
      <sheetName val="3.1Impressão"/>
      <sheetName val="4Contrato Compra"/>
      <sheetName val="5CERTIFICADO"/>
      <sheetName val="6Manutençao Garantia"/>
      <sheetName val="7Mapa Orçamento"/>
      <sheetName val="8Resumo Venda"/>
      <sheetName val="9PG Projetista"/>
      <sheetName val="10Ficha montagem"/>
      <sheetName val="11PG Montador"/>
      <sheetName val="12 Controle Pedidos "/>
      <sheetName val="13 E-mail Compra Fabrica"/>
      <sheetName val="14 E-mail Transportadora"/>
      <sheetName val="15 Caixa Mês"/>
      <sheetName val="16 Caixa Ano"/>
      <sheetName val="17 Resumo do Sistema"/>
      <sheetName val="Listas"/>
      <sheetName val="Losango 30"/>
      <sheetName val="Losango 60"/>
      <sheetName val="Losango 90"/>
    </sheetNames>
    <sheetDataSet>
      <sheetData sheetId="0"/>
      <sheetData sheetId="1"/>
      <sheetData sheetId="2"/>
      <sheetData sheetId="3"/>
      <sheetData sheetId="4">
        <row r="8">
          <cell r="I8">
            <v>0</v>
          </cell>
          <cell r="L8" t="str">
            <v xml:space="preserve">(0) 1+14=15 X </v>
          </cell>
          <cell r="N8">
            <v>15</v>
          </cell>
          <cell r="P8">
            <v>8405</v>
          </cell>
          <cell r="Q8">
            <v>-0.2770431451705393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e"/>
      <sheetName val="Plan1"/>
      <sheetName val="Plan2"/>
      <sheetName val="Plan3"/>
    </sheetNames>
    <sheetDataSet>
      <sheetData sheetId="0">
        <row r="2">
          <cell r="G2">
            <v>0</v>
          </cell>
          <cell r="H2" t="str">
            <v>31/06/2025</v>
          </cell>
        </row>
        <row r="30">
          <cell r="C30" t="str">
            <v xml:space="preserve">     R E A L I Z A M O S   O   S E U   S O N H O    H O J E !  </v>
          </cell>
        </row>
        <row r="31">
          <cell r="C31" t="str">
            <v>1) Empresa com Solidez de Mercado</v>
          </cell>
          <cell r="F31" t="str">
            <v>4) Profissionais de Designer</v>
          </cell>
          <cell r="I31" t="str">
            <v xml:space="preserve">7) Orçamentos Grátis   </v>
          </cell>
        </row>
        <row r="32">
          <cell r="C32" t="str">
            <v xml:space="preserve">2) Montadores Próprios Especializados </v>
          </cell>
          <cell r="F32" t="str">
            <v xml:space="preserve">5) Projetos Personalizados </v>
          </cell>
          <cell r="I32" t="str">
            <v>8) Transporte Especializado monitorado na entrega</v>
          </cell>
        </row>
        <row r="33">
          <cell r="C33" t="str">
            <v>3) Contato direto com a Administração</v>
          </cell>
          <cell r="F33" t="str">
            <v>6)  Certificado Garantia</v>
          </cell>
          <cell r="I33" t="str">
            <v>9) Manutenção da loja em seus móveis</v>
          </cell>
        </row>
      </sheetData>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 Lj"/>
      <sheetName val="1F Cliente Compra"/>
      <sheetName val="2F Proj."/>
      <sheetName val="3Orçto"/>
      <sheetName val="3.1Impressão"/>
      <sheetName val="4Contrato de Compra"/>
      <sheetName val="5 CERTIFICADO"/>
      <sheetName val="6 Manutençao Garantia"/>
      <sheetName val="7Controle de Orçamento"/>
      <sheetName val="Plan1"/>
      <sheetName val="Plan2"/>
      <sheetName val="Planilha1"/>
      <sheetName val="Planilha 2"/>
      <sheetName val="1 Resumo Venda"/>
      <sheetName val="2 PG Vendedor"/>
      <sheetName val="3 Ficha montagem"/>
      <sheetName val="4 PG Montador"/>
      <sheetName val="5 E-mail Compra Fabrica"/>
      <sheetName val="6 E-mail Transportadora"/>
      <sheetName val="7 Controle Pedidos "/>
      <sheetName val="8 Resumo Mês"/>
      <sheetName val="9 Resumo Ano"/>
      <sheetName val="14 Pers."/>
      <sheetName val="Listas"/>
      <sheetName val="Losango 30"/>
      <sheetName val="Losango 60"/>
      <sheetName val="Losango 90"/>
    </sheetNames>
    <sheetDataSet>
      <sheetData sheetId="0">
        <row r="32">
          <cell r="B32" t="str">
            <v>1 - Adelir</v>
          </cell>
          <cell r="C32" t="str">
            <v>140.946.647-77</v>
          </cell>
          <cell r="D32" t="str">
            <v>Vendedor(a) Projetista : Adelir Chaves</v>
          </cell>
          <cell r="F32">
            <v>13</v>
          </cell>
        </row>
        <row r="33">
          <cell r="B33" t="str">
            <v>2 - Marco Antônio</v>
          </cell>
          <cell r="C33" t="str">
            <v>439.973.927-49</v>
          </cell>
          <cell r="D33" t="str">
            <v>Vendedor(a) Projetista : Marco Antonio Soares Gonçalves</v>
          </cell>
          <cell r="F33">
            <v>3</v>
          </cell>
        </row>
        <row r="34">
          <cell r="B34">
            <v>3</v>
          </cell>
          <cell r="C34" t="str">
            <v xml:space="preserve"> </v>
          </cell>
          <cell r="D34" t="str">
            <v xml:space="preserve">  </v>
          </cell>
          <cell r="F34" t="str">
            <v xml:space="preserve"> </v>
          </cell>
        </row>
        <row r="35">
          <cell r="B35">
            <v>4</v>
          </cell>
          <cell r="C35" t="str">
            <v xml:space="preserve"> </v>
          </cell>
          <cell r="D35" t="str">
            <v xml:space="preserve">  </v>
          </cell>
          <cell r="F35" t="str">
            <v xml:space="preserve"> </v>
          </cell>
        </row>
        <row r="36">
          <cell r="B36">
            <v>5</v>
          </cell>
          <cell r="C36" t="str">
            <v xml:space="preserve"> </v>
          </cell>
          <cell r="D36" t="str">
            <v xml:space="preserve">  </v>
          </cell>
          <cell r="F36" t="str">
            <v xml:space="preserve"> </v>
          </cell>
        </row>
        <row r="37">
          <cell r="B37">
            <v>6</v>
          </cell>
          <cell r="C37" t="str">
            <v xml:space="preserve"> </v>
          </cell>
          <cell r="D37" t="str">
            <v xml:space="preserve">  </v>
          </cell>
          <cell r="F37" t="str">
            <v xml:space="preserve"> </v>
          </cell>
        </row>
        <row r="51">
          <cell r="B51" t="str">
            <v>Transporte Rio Extra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 Lj"/>
    </sheetNames>
    <sheetDataSet>
      <sheetData sheetId="0">
        <row r="5">
          <cell r="F5" t="str">
            <v>123.456.789-00</v>
          </cell>
        </row>
        <row r="15">
          <cell r="F15" t="str">
            <v>Méier</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 Cliente Compra"/>
      <sheetName val="2F Proj."/>
      <sheetName val="3Orçto"/>
      <sheetName val="3.1Impressão"/>
      <sheetName val="4Contrato de Compra"/>
      <sheetName val="5 CERTIFICADO"/>
      <sheetName val="6 Manutençao Garantia"/>
      <sheetName val="7Controle de Orçamento"/>
      <sheetName val="1 Resumo Venda"/>
      <sheetName val="2 PG Vendedor"/>
      <sheetName val="3 Ficha montagem"/>
      <sheetName val="4 PG Montador"/>
      <sheetName val="F Lj"/>
      <sheetName val="5 E-mail Compra Fabrica"/>
      <sheetName val="6 E-mail Transportadora"/>
      <sheetName val="7 Controle Pedidos "/>
      <sheetName val="8 Resumo Mês"/>
      <sheetName val="9 Resumo Ano"/>
      <sheetName val="14 Pers."/>
      <sheetName val="Listas"/>
      <sheetName val="Losango 30"/>
      <sheetName val="Losango 60"/>
      <sheetName val="Losango 90"/>
    </sheetNames>
    <sheetDataSet>
      <sheetData sheetId="0" refreshError="1">
        <row r="12">
          <cell r="D12">
            <v>0</v>
          </cell>
        </row>
        <row r="20">
          <cell r="D20" t="str">
            <v xml:space="preserve"> </v>
          </cell>
        </row>
        <row r="25">
          <cell r="B25" t="str">
            <v xml:space="preserve">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Comprador"/>
      <sheetName val="2F Proj."/>
      <sheetName val="3Orçto"/>
      <sheetName val="3.1Impressão"/>
      <sheetName val="4Contrato Compra"/>
      <sheetName val="5CERTIFICADO"/>
      <sheetName val="6Manutençao Garantia"/>
      <sheetName val="7Mapa Orçamento"/>
      <sheetName val="1Resumo Venda"/>
      <sheetName val="2PG Vendedor"/>
      <sheetName val="3Ficha montagem"/>
      <sheetName val="4PG Montador"/>
      <sheetName val="F Lj"/>
      <sheetName val="14 Pers."/>
      <sheetName val="Listas"/>
      <sheetName val="Losango 30"/>
      <sheetName val="Losango 60"/>
      <sheetName val="Losango 90"/>
    </sheetNames>
    <sheetDataSet>
      <sheetData sheetId="0">
        <row r="24">
          <cell r="D24" t="str">
            <v xml:space="preserve"> Barra</v>
          </cell>
        </row>
      </sheetData>
      <sheetData sheetId="1"/>
      <sheetData sheetId="2"/>
      <sheetData sheetId="3"/>
      <sheetData sheetId="4"/>
      <sheetData sheetId="5"/>
      <sheetData sheetId="6"/>
      <sheetData sheetId="7"/>
      <sheetData sheetId="8"/>
      <sheetData sheetId="9"/>
      <sheetData sheetId="10">
        <row r="12">
          <cell r="D12" t="str">
            <v>Camila Brandão Lobo</v>
          </cell>
        </row>
        <row r="22">
          <cell r="D22" t="str">
            <v xml:space="preserve">ACIMA </v>
          </cell>
        </row>
      </sheetData>
      <sheetData sheetId="11"/>
      <sheetData sheetId="12">
        <row r="5">
          <cell r="F5">
            <v>75480816772</v>
          </cell>
        </row>
        <row r="15">
          <cell r="F15" t="str">
            <v>Barra</v>
          </cell>
        </row>
      </sheetData>
      <sheetData sheetId="13">
        <row r="2">
          <cell r="H2">
            <v>45808</v>
          </cell>
        </row>
      </sheetData>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tel://5521111111111/" TargetMode="External"/><Relationship Id="rId13" Type="http://schemas.openxmlformats.org/officeDocument/2006/relationships/hyperlink" Target="mailto:SHOPMOVEIS@HOTMAIL.COM.BR" TargetMode="External"/><Relationship Id="rId3" Type="http://schemas.openxmlformats.org/officeDocument/2006/relationships/hyperlink" Target="mailto:cadilhomodulados@gmail.com" TargetMode="External"/><Relationship Id="rId7" Type="http://schemas.openxmlformats.org/officeDocument/2006/relationships/hyperlink" Target="http://bydesigner.com.br/categoria" TargetMode="External"/><Relationship Id="rId12" Type="http://schemas.openxmlformats.org/officeDocument/2006/relationships/hyperlink" Target="https://www.google.com.br/maps/@-22.9251876,-43.2013312,15z?entry=ttu&amp;g_ep=EgoyMDI1MDEyOS4xIKXMDSoASAFQAw%3D%3D" TargetMode="External"/><Relationship Id="rId2" Type="http://schemas.openxmlformats.org/officeDocument/2006/relationships/hyperlink" Target="mailto:operacionalrj@marinlogistica.com" TargetMode="External"/><Relationship Id="rId1" Type="http://schemas.openxmlformats.org/officeDocument/2006/relationships/hyperlink" Target="mailto:logisticarj@mericalog.com" TargetMode="External"/><Relationship Id="rId6" Type="http://schemas.openxmlformats.org/officeDocument/2006/relationships/hyperlink" Target="http://bydesigner.com.br/categoria" TargetMode="External"/><Relationship Id="rId11" Type="http://schemas.openxmlformats.org/officeDocument/2006/relationships/hyperlink" Target="https://www.bydesigner.com.br/" TargetMode="External"/><Relationship Id="rId5" Type="http://schemas.openxmlformats.org/officeDocument/2006/relationships/hyperlink" Target="http://bydesigner.com.br/categoria" TargetMode="External"/><Relationship Id="rId10" Type="http://schemas.openxmlformats.org/officeDocument/2006/relationships/hyperlink" Target="https://wa.me/5521222222222" TargetMode="External"/><Relationship Id="rId4" Type="http://schemas.openxmlformats.org/officeDocument/2006/relationships/hyperlink" Target="mailto:cadilhomodulados@gmail.com" TargetMode="External"/><Relationship Id="rId9" Type="http://schemas.openxmlformats.org/officeDocument/2006/relationships/hyperlink" Target="https://www.instagran.com.br/" TargetMode="External"/><Relationship Id="rId1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mailto:euronobre@euronobre.com.br" TargetMode="External"/><Relationship Id="rId2" Type="http://schemas.openxmlformats.org/officeDocument/2006/relationships/hyperlink" Target="mailto:pedidos@jaelimoveis.com.br" TargetMode="External"/><Relationship Id="rId1" Type="http://schemas.openxmlformats.org/officeDocument/2006/relationships/hyperlink" Target="mailto:shopmoveis@hotmail.com.br" TargetMode="External"/><Relationship Id="rId5" Type="http://schemas.openxmlformats.org/officeDocument/2006/relationships/printerSettings" Target="../printerSettings/printerSettings16.bin"/><Relationship Id="rId4" Type="http://schemas.openxmlformats.org/officeDocument/2006/relationships/hyperlink" Target="mailto:atendimento@colortecrs.com.br"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mailto:logisticawagsul@gmail.com" TargetMode="External"/><Relationship Id="rId1" Type="http://schemas.openxmlformats.org/officeDocument/2006/relationships/hyperlink" Target="mailto:shopmoveis@hotmail.com.br"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tel://5521995562020/" TargetMode="External"/><Relationship Id="rId3" Type="http://schemas.openxmlformats.org/officeDocument/2006/relationships/hyperlink" Target="https://empresas.serasaexperian.com.br/" TargetMode="External"/><Relationship Id="rId7" Type="http://schemas.openxmlformats.org/officeDocument/2006/relationships/hyperlink" Target="mailto:ADILSON@ATUALPLANEJADOSMEIER.COM.BR" TargetMode="External"/><Relationship Id="rId12" Type="http://schemas.openxmlformats.org/officeDocument/2006/relationships/drawing" Target="../drawings/drawing6.xml"/><Relationship Id="rId2" Type="http://schemas.openxmlformats.org/officeDocument/2006/relationships/hyperlink" Target="http://www.asaas.com/" TargetMode="External"/><Relationship Id="rId1" Type="http://schemas.openxmlformats.org/officeDocument/2006/relationships/hyperlink" Target="https://sincad-web.fazenda.rj.gov.br/sincad-web/index.jsf?cnpj=" TargetMode="External"/><Relationship Id="rId6" Type="http://schemas.openxmlformats.org/officeDocument/2006/relationships/hyperlink" Target="http://www.sisbrasil.rio.br/" TargetMode="External"/><Relationship Id="rId11" Type="http://schemas.openxmlformats.org/officeDocument/2006/relationships/printerSettings" Target="../printerSettings/printerSettings20.bin"/><Relationship Id="rId5" Type="http://schemas.openxmlformats.org/officeDocument/2006/relationships/hyperlink" Target="https://www.nfse.gov.br/EmissorNacional/" TargetMode="External"/><Relationship Id="rId10" Type="http://schemas.openxmlformats.org/officeDocument/2006/relationships/hyperlink" Target="http://www.sisbrasil.rio.br/" TargetMode="External"/><Relationship Id="rId4" Type="http://schemas.openxmlformats.org/officeDocument/2006/relationships/hyperlink" Target="https://sincad-web.fazenda.rj.gov.br/sincad-web/index.jsf?cnpj=" TargetMode="External"/><Relationship Id="rId9" Type="http://schemas.openxmlformats.org/officeDocument/2006/relationships/hyperlink" Target="tel://5521995562020/"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hopmoveis.com.br/"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package" Target="../embeddings/Microsoft_Word_Document1.docx"/><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image" Target="../media/image5.emf"/><Relationship Id="rId4" Type="http://schemas.openxmlformats.org/officeDocument/2006/relationships/package" Target="../embeddings/Microsoft_Word_Document2.docx"/></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8">
    <tabColor rgb="FF7030A0"/>
  </sheetPr>
  <dimension ref="B1:H80"/>
  <sheetViews>
    <sheetView tabSelected="1" zoomScale="120" zoomScaleNormal="120" workbookViewId="0">
      <selection activeCell="F71" sqref="F71:G71"/>
    </sheetView>
  </sheetViews>
  <sheetFormatPr defaultColWidth="9.1796875" defaultRowHeight="12.5"/>
  <cols>
    <col min="1" max="1" width="1" style="97" customWidth="1"/>
    <col min="2" max="2" width="32" style="97" customWidth="1"/>
    <col min="3" max="3" width="20.36328125" style="97" customWidth="1"/>
    <col min="4" max="4" width="32.81640625" style="97" customWidth="1"/>
    <col min="5" max="5" width="15.54296875" style="97" bestFit="1" customWidth="1"/>
    <col min="6" max="6" width="5.6328125" style="97" customWidth="1"/>
    <col min="7" max="7" width="27.81640625" style="97" customWidth="1"/>
    <col min="8" max="16384" width="9.1796875" style="97"/>
  </cols>
  <sheetData>
    <row r="1" spans="2:8" ht="6" customHeight="1" thickBot="1"/>
    <row r="2" spans="2:8" ht="16.5" customHeight="1" thickBot="1">
      <c r="B2" s="370" t="s">
        <v>0</v>
      </c>
      <c r="C2" s="1175" t="s">
        <v>1</v>
      </c>
      <c r="D2" s="1176"/>
      <c r="E2" s="1063" t="s">
        <v>915</v>
      </c>
      <c r="F2" s="1177" t="str">
        <f>'17 Resumo do Sistema'!J2</f>
        <v>Versão nº 22/07/2025</v>
      </c>
      <c r="G2" s="1178"/>
    </row>
    <row r="3" spans="2:8" ht="14.25" customHeight="1" thickBot="1">
      <c r="B3" s="658" t="s">
        <v>2</v>
      </c>
      <c r="C3" s="942" t="s">
        <v>916</v>
      </c>
      <c r="D3" s="1064" t="s">
        <v>4</v>
      </c>
      <c r="E3" s="1065" t="s">
        <v>5</v>
      </c>
      <c r="F3" s="1189">
        <f>'17 Resumo do Sistema'!H2</f>
        <v>46386</v>
      </c>
      <c r="G3" s="1190"/>
    </row>
    <row r="4" spans="2:8" ht="13.5" customHeight="1" thickBot="1">
      <c r="B4" s="1172" t="s">
        <v>6</v>
      </c>
      <c r="C4" s="1173"/>
      <c r="D4" s="1174"/>
      <c r="E4" s="1066" t="s">
        <v>7</v>
      </c>
      <c r="F4" s="1181">
        <f ca="1">NOW()</f>
        <v>46153.671254745372</v>
      </c>
      <c r="G4" s="1182"/>
    </row>
    <row r="5" spans="2:8" ht="15.5">
      <c r="B5" s="1183" t="s">
        <v>8</v>
      </c>
      <c r="C5" s="1184"/>
      <c r="D5" s="1185" t="s">
        <v>930</v>
      </c>
      <c r="E5" s="1186"/>
      <c r="F5" s="1187" t="s">
        <v>931</v>
      </c>
      <c r="G5" s="1188"/>
    </row>
    <row r="6" spans="2:8" ht="15.5">
      <c r="B6" s="1152" t="s">
        <v>9</v>
      </c>
      <c r="C6" s="1153"/>
      <c r="D6" s="1144" t="s">
        <v>932</v>
      </c>
      <c r="E6" s="1145" t="s">
        <v>933</v>
      </c>
      <c r="F6" s="1179" t="s">
        <v>3</v>
      </c>
      <c r="G6" s="1180"/>
    </row>
    <row r="7" spans="2:8" ht="15.5">
      <c r="B7" s="1152" t="s">
        <v>10</v>
      </c>
      <c r="C7" s="1153"/>
      <c r="D7" s="1162" t="s">
        <v>934</v>
      </c>
      <c r="E7" s="1163"/>
      <c r="F7" s="1163"/>
      <c r="G7" s="1164"/>
    </row>
    <row r="8" spans="2:8" ht="15.5">
      <c r="B8" s="1152" t="s">
        <v>11</v>
      </c>
      <c r="C8" s="1153"/>
      <c r="D8" s="1165" t="s">
        <v>3</v>
      </c>
      <c r="E8" s="1166"/>
      <c r="F8" s="1154" t="s">
        <v>3</v>
      </c>
      <c r="G8" s="1155"/>
    </row>
    <row r="9" spans="2:8" ht="15.5">
      <c r="B9" s="1152" t="s">
        <v>9</v>
      </c>
      <c r="C9" s="1153"/>
      <c r="D9" s="1067" t="s">
        <v>3</v>
      </c>
      <c r="E9" s="1068" t="s">
        <v>3</v>
      </c>
      <c r="F9" s="1154" t="s">
        <v>3</v>
      </c>
      <c r="G9" s="1155"/>
    </row>
    <row r="10" spans="2:8" ht="16" thickBot="1">
      <c r="B10" s="1167" t="s">
        <v>10</v>
      </c>
      <c r="C10" s="1168"/>
      <c r="D10" s="1169" t="s">
        <v>3</v>
      </c>
      <c r="E10" s="1170"/>
      <c r="F10" s="1170"/>
      <c r="G10" s="1171"/>
    </row>
    <row r="11" spans="2:8" ht="12" customHeight="1" thickBot="1">
      <c r="B11" s="1172" t="s">
        <v>12</v>
      </c>
      <c r="C11" s="1173"/>
      <c r="D11" s="1173"/>
      <c r="E11" s="1173"/>
      <c r="F11" s="1173"/>
      <c r="G11" s="1174"/>
    </row>
    <row r="12" spans="2:8" ht="15.5">
      <c r="B12" s="1183" t="s">
        <v>13</v>
      </c>
      <c r="C12" s="1184"/>
      <c r="D12" s="1193" t="s">
        <v>935</v>
      </c>
      <c r="E12" s="1194"/>
      <c r="F12" s="1194"/>
      <c r="G12" s="1195"/>
    </row>
    <row r="13" spans="2:8" ht="15.5">
      <c r="B13" s="1152" t="s">
        <v>14</v>
      </c>
      <c r="C13" s="1153"/>
      <c r="D13" s="1196" t="s">
        <v>965</v>
      </c>
      <c r="E13" s="1154"/>
      <c r="F13" s="1154"/>
      <c r="G13" s="1155"/>
    </row>
    <row r="14" spans="2:8" ht="15.5">
      <c r="B14" s="1152" t="s">
        <v>15</v>
      </c>
      <c r="C14" s="1153"/>
      <c r="D14" s="1207" t="s">
        <v>936</v>
      </c>
      <c r="E14" s="1158"/>
      <c r="F14" s="1158"/>
      <c r="G14" s="1159"/>
    </row>
    <row r="15" spans="2:8" ht="15.5">
      <c r="B15" s="1152" t="s">
        <v>16</v>
      </c>
      <c r="C15" s="1153"/>
      <c r="D15" s="1070" t="s">
        <v>692</v>
      </c>
      <c r="E15" s="1071" t="s">
        <v>18</v>
      </c>
      <c r="F15" s="1154" t="s">
        <v>938</v>
      </c>
      <c r="G15" s="1155"/>
    </row>
    <row r="16" spans="2:8" ht="15.5">
      <c r="B16" s="1152" t="s">
        <v>19</v>
      </c>
      <c r="C16" s="1153"/>
      <c r="D16" s="1196" t="s">
        <v>966</v>
      </c>
      <c r="E16" s="1154"/>
      <c r="F16" s="1154"/>
      <c r="G16" s="1155"/>
      <c r="H16" s="380"/>
    </row>
    <row r="17" spans="2:7" ht="15.5">
      <c r="B17" s="1152" t="s">
        <v>20</v>
      </c>
      <c r="C17" s="1153"/>
      <c r="D17" s="1067" t="s">
        <v>937</v>
      </c>
      <c r="E17" s="1072" t="s">
        <v>21</v>
      </c>
      <c r="F17" s="1201" t="s">
        <v>939</v>
      </c>
      <c r="G17" s="1202"/>
    </row>
    <row r="18" spans="2:7" ht="15.5">
      <c r="B18" s="1152" t="s">
        <v>22</v>
      </c>
      <c r="C18" s="1153"/>
      <c r="D18" s="1067" t="s">
        <v>940</v>
      </c>
      <c r="E18" s="1072" t="s">
        <v>23</v>
      </c>
      <c r="F18" s="1154" t="s">
        <v>24</v>
      </c>
      <c r="G18" s="1155"/>
    </row>
    <row r="19" spans="2:7" ht="15.5">
      <c r="B19" s="1152" t="s">
        <v>25</v>
      </c>
      <c r="C19" s="1153"/>
      <c r="D19" s="1160" t="s">
        <v>941</v>
      </c>
      <c r="E19" s="1161" t="s">
        <v>26</v>
      </c>
      <c r="F19" s="1156" t="s">
        <v>942</v>
      </c>
      <c r="G19" s="1157"/>
    </row>
    <row r="20" spans="2:7" ht="15.5">
      <c r="B20" s="1152" t="s">
        <v>27</v>
      </c>
      <c r="C20" s="1153"/>
      <c r="D20" s="1067" t="s">
        <v>28</v>
      </c>
      <c r="E20" s="1069" t="s">
        <v>29</v>
      </c>
      <c r="F20" s="1158" t="s">
        <v>3</v>
      </c>
      <c r="G20" s="1159"/>
    </row>
    <row r="21" spans="2:7" ht="15.5">
      <c r="B21" s="1152" t="s">
        <v>30</v>
      </c>
      <c r="C21" s="1153"/>
      <c r="D21" s="1196" t="s">
        <v>943</v>
      </c>
      <c r="E21" s="1154"/>
      <c r="F21" s="1150" t="s">
        <v>944</v>
      </c>
      <c r="G21" s="1151"/>
    </row>
    <row r="22" spans="2:7" ht="15.5">
      <c r="B22" s="1152" t="s">
        <v>31</v>
      </c>
      <c r="C22" s="1153"/>
      <c r="D22" s="1212" t="s">
        <v>945</v>
      </c>
      <c r="E22" s="1213"/>
      <c r="F22" s="1213"/>
      <c r="G22" s="1214"/>
    </row>
    <row r="23" spans="2:7" ht="15.5">
      <c r="B23" s="1215" t="s">
        <v>32</v>
      </c>
      <c r="C23" s="1216"/>
      <c r="D23" s="1217" t="s">
        <v>946</v>
      </c>
      <c r="E23" s="1217"/>
      <c r="F23" s="1217"/>
      <c r="G23" s="1218"/>
    </row>
    <row r="24" spans="2:7" ht="15.5">
      <c r="B24" s="1152" t="s">
        <v>33</v>
      </c>
      <c r="C24" s="1153"/>
      <c r="D24" s="1197" t="s">
        <v>947</v>
      </c>
      <c r="E24" s="1198"/>
      <c r="F24" s="1199" t="s">
        <v>944</v>
      </c>
      <c r="G24" s="1200"/>
    </row>
    <row r="25" spans="2:7" ht="15.5">
      <c r="B25" s="1152" t="s">
        <v>34</v>
      </c>
      <c r="C25" s="1153"/>
      <c r="D25" s="1219" t="s">
        <v>948</v>
      </c>
      <c r="E25" s="1220"/>
      <c r="F25" s="1220"/>
      <c r="G25" s="1221"/>
    </row>
    <row r="26" spans="2:7" ht="15.5">
      <c r="B26" s="1152" t="s">
        <v>35</v>
      </c>
      <c r="C26" s="1153"/>
      <c r="D26" s="1073" t="s">
        <v>36</v>
      </c>
      <c r="E26" s="1074" t="s">
        <v>37</v>
      </c>
      <c r="F26" s="1191" t="s">
        <v>38</v>
      </c>
      <c r="G26" s="1192"/>
    </row>
    <row r="27" spans="2:7" ht="15.5">
      <c r="B27" s="1210" t="s">
        <v>39</v>
      </c>
      <c r="C27" s="1211"/>
      <c r="D27" s="1073" t="s">
        <v>39</v>
      </c>
      <c r="E27" s="1074" t="s">
        <v>40</v>
      </c>
      <c r="F27" s="1191" t="s">
        <v>41</v>
      </c>
      <c r="G27" s="1192"/>
    </row>
    <row r="28" spans="2:7" ht="16" thickBot="1">
      <c r="B28" s="1152" t="s">
        <v>42</v>
      </c>
      <c r="C28" s="1153"/>
      <c r="D28" s="1067" t="s">
        <v>43</v>
      </c>
      <c r="E28" s="1075" t="s">
        <v>918</v>
      </c>
      <c r="F28" s="1208" t="s">
        <v>44</v>
      </c>
      <c r="G28" s="1209"/>
    </row>
    <row r="29" spans="2:7" ht="16" thickBot="1">
      <c r="B29" s="1152" t="s">
        <v>45</v>
      </c>
      <c r="C29" s="1153"/>
      <c r="D29" s="1067" t="s">
        <v>967</v>
      </c>
      <c r="E29" s="1068" t="s">
        <v>968</v>
      </c>
      <c r="F29" s="666">
        <v>40</v>
      </c>
      <c r="G29" s="667" t="s">
        <v>47</v>
      </c>
    </row>
    <row r="30" spans="2:7" ht="16" thickBot="1">
      <c r="B30" s="1167" t="s">
        <v>48</v>
      </c>
      <c r="C30" s="1168"/>
      <c r="D30" s="1048" t="s">
        <v>969</v>
      </c>
      <c r="E30" s="1049" t="s">
        <v>970</v>
      </c>
      <c r="F30" s="1222">
        <f ca="1">NOW()+F29</f>
        <v>46193.671254745372</v>
      </c>
      <c r="G30" s="1223"/>
    </row>
    <row r="31" spans="2:7" ht="15.75" customHeight="1" thickBot="1">
      <c r="B31" s="371" t="s">
        <v>910</v>
      </c>
      <c r="C31" s="659" t="s">
        <v>51</v>
      </c>
      <c r="D31" s="371" t="s">
        <v>52</v>
      </c>
      <c r="E31" s="371" t="s">
        <v>53</v>
      </c>
      <c r="F31" s="371" t="s">
        <v>54</v>
      </c>
      <c r="G31" s="371" t="s">
        <v>55</v>
      </c>
    </row>
    <row r="32" spans="2:7" ht="13" thickBot="1">
      <c r="B32" s="943" t="s">
        <v>949</v>
      </c>
      <c r="C32" s="944" t="s">
        <v>952</v>
      </c>
      <c r="D32" s="945" t="s">
        <v>955</v>
      </c>
      <c r="E32" s="946" t="s">
        <v>958</v>
      </c>
      <c r="F32" s="947">
        <v>3</v>
      </c>
      <c r="G32" s="948" t="s">
        <v>55</v>
      </c>
    </row>
    <row r="33" spans="2:7" ht="13" thickBot="1">
      <c r="B33" s="943" t="s">
        <v>950</v>
      </c>
      <c r="C33" s="1076" t="s">
        <v>953</v>
      </c>
      <c r="D33" s="1077" t="s">
        <v>956</v>
      </c>
      <c r="E33" s="1078" t="s">
        <v>959</v>
      </c>
      <c r="F33" s="1079">
        <v>20</v>
      </c>
      <c r="G33" s="948" t="s">
        <v>55</v>
      </c>
    </row>
    <row r="34" spans="2:7">
      <c r="B34" s="943" t="s">
        <v>951</v>
      </c>
      <c r="C34" s="1076" t="s">
        <v>954</v>
      </c>
      <c r="D34" s="1082" t="s">
        <v>957</v>
      </c>
      <c r="E34" s="1078" t="s">
        <v>960</v>
      </c>
      <c r="F34" s="1079">
        <v>19</v>
      </c>
      <c r="G34" s="948" t="s">
        <v>55</v>
      </c>
    </row>
    <row r="35" spans="2:7">
      <c r="B35" s="1081"/>
      <c r="C35" s="1076"/>
      <c r="D35" s="1077"/>
      <c r="E35" s="1078"/>
      <c r="F35" s="1079"/>
      <c r="G35" s="1080"/>
    </row>
    <row r="36" spans="2:7">
      <c r="B36" s="1081"/>
      <c r="C36" s="1076"/>
      <c r="D36" s="1077"/>
      <c r="E36" s="1078"/>
      <c r="F36" s="1079"/>
      <c r="G36" s="1080"/>
    </row>
    <row r="37" spans="2:7" ht="13" thickBot="1">
      <c r="B37" s="1083"/>
      <c r="C37" s="1084"/>
      <c r="D37" s="1085"/>
      <c r="E37" s="1086"/>
      <c r="F37" s="1087"/>
      <c r="G37" s="1088"/>
    </row>
    <row r="38" spans="2:7" ht="13" thickBot="1">
      <c r="B38" s="925" t="s">
        <v>56</v>
      </c>
      <c r="C38" s="1224" t="s">
        <v>887</v>
      </c>
      <c r="D38" s="1225"/>
      <c r="E38" s="1225"/>
      <c r="F38" s="1225"/>
      <c r="G38" s="1226"/>
    </row>
    <row r="39" spans="2:7" ht="16" thickBot="1">
      <c r="B39" s="873" t="s">
        <v>888</v>
      </c>
      <c r="C39" s="879" t="s">
        <v>897</v>
      </c>
      <c r="D39" s="893" t="s">
        <v>898</v>
      </c>
      <c r="E39" s="875" t="s">
        <v>889</v>
      </c>
      <c r="F39" s="1089">
        <v>0.1</v>
      </c>
      <c r="G39" s="874" t="s">
        <v>893</v>
      </c>
    </row>
    <row r="40" spans="2:7" ht="16" thickBot="1">
      <c r="B40" s="1215" t="s">
        <v>57</v>
      </c>
      <c r="C40" s="1216"/>
      <c r="D40" s="1090" t="s">
        <v>862</v>
      </c>
      <c r="E40" s="926" t="s">
        <v>905</v>
      </c>
      <c r="F40" s="1205" t="s">
        <v>906</v>
      </c>
      <c r="G40" s="1206"/>
    </row>
    <row r="41" spans="2:7" ht="16" thickBot="1">
      <c r="B41" s="1203" t="s">
        <v>58</v>
      </c>
      <c r="C41" s="1204"/>
      <c r="D41" s="1091" t="s">
        <v>919</v>
      </c>
      <c r="E41" s="1092" t="s">
        <v>920</v>
      </c>
      <c r="F41" s="1205" t="s">
        <v>921</v>
      </c>
      <c r="G41" s="1206"/>
    </row>
    <row r="42" spans="2:7" ht="13.5" thickBot="1">
      <c r="B42" s="1229" t="s">
        <v>59</v>
      </c>
      <c r="C42" s="1230"/>
      <c r="D42" s="927"/>
      <c r="E42" s="372"/>
      <c r="F42" s="1231"/>
      <c r="G42" s="1232"/>
    </row>
    <row r="43" spans="2:7" ht="15.5">
      <c r="B43" s="1233" t="s">
        <v>60</v>
      </c>
      <c r="C43" s="1234"/>
      <c r="D43" s="745" t="s">
        <v>877</v>
      </c>
      <c r="E43" s="939">
        <v>24</v>
      </c>
      <c r="F43" s="1235" t="s">
        <v>909</v>
      </c>
      <c r="G43" s="1236"/>
    </row>
    <row r="44" spans="2:7" ht="14.25" customHeight="1">
      <c r="B44" s="1237" t="s">
        <v>922</v>
      </c>
      <c r="C44" s="1238"/>
      <c r="D44" s="1238"/>
      <c r="E44" s="1238"/>
      <c r="F44" s="1238"/>
      <c r="G44" s="1239"/>
    </row>
    <row r="45" spans="2:7" ht="15.5">
      <c r="B45" s="1093" t="str">
        <f>B70</f>
        <v>logisticarj@mericalog.com</v>
      </c>
      <c r="C45" s="1094" t="str">
        <f>C70</f>
        <v xml:space="preserve">  Mérica</v>
      </c>
      <c r="D45" s="1095" t="str">
        <f>D70</f>
        <v>RS - Elton</v>
      </c>
      <c r="E45" s="1148" t="str">
        <f>E70</f>
        <v>(54) 99157-1412</v>
      </c>
      <c r="F45" s="1240">
        <f>F70</f>
        <v>0.19670000000000001</v>
      </c>
      <c r="G45" s="1241"/>
    </row>
    <row r="46" spans="2:7" ht="16" thickBot="1">
      <c r="B46" s="1096" t="str">
        <f>B71</f>
        <v>Rio - Guilherme (Jardim América)</v>
      </c>
      <c r="C46" s="1149" t="str">
        <f>C71</f>
        <v>(21) 99132-9800</v>
      </c>
      <c r="D46" s="1097" t="s">
        <v>3</v>
      </c>
      <c r="E46" s="1097"/>
      <c r="F46" s="1242"/>
      <c r="G46" s="1243"/>
    </row>
    <row r="47" spans="2:7" ht="15.75" customHeight="1">
      <c r="B47" s="1183" t="s">
        <v>63</v>
      </c>
      <c r="C47" s="1184"/>
      <c r="D47" s="1196" t="str">
        <f>D16</f>
        <v>Endereço da Loja</v>
      </c>
      <c r="E47" s="1154"/>
      <c r="F47" s="1154"/>
      <c r="G47" s="1155"/>
    </row>
    <row r="48" spans="2:7" ht="15.5">
      <c r="B48" s="1152" t="s">
        <v>64</v>
      </c>
      <c r="C48" s="1153"/>
      <c r="D48" s="1067" t="str">
        <f>F15</f>
        <v>Local da loja</v>
      </c>
      <c r="E48" s="1072" t="s">
        <v>65</v>
      </c>
      <c r="F48" s="1201" t="str">
        <f>F17</f>
        <v>CEP da Loja</v>
      </c>
      <c r="G48" s="1202"/>
    </row>
    <row r="49" spans="2:7" ht="16" thickBot="1">
      <c r="B49" s="1167" t="s">
        <v>66</v>
      </c>
      <c r="C49" s="1168"/>
      <c r="D49" s="1091" t="s">
        <v>917</v>
      </c>
      <c r="E49" s="1098" t="s">
        <v>23</v>
      </c>
      <c r="F49" s="1227" t="str">
        <f>F18</f>
        <v>RJ</v>
      </c>
      <c r="G49" s="1228"/>
    </row>
    <row r="50" spans="2:7" ht="11.25" customHeight="1" thickBot="1">
      <c r="B50" s="1248" t="s">
        <v>863</v>
      </c>
      <c r="C50" s="1249"/>
      <c r="D50" s="746" t="s">
        <v>864</v>
      </c>
      <c r="E50" s="1248" t="s">
        <v>865</v>
      </c>
      <c r="F50" s="1250"/>
      <c r="G50" s="1251"/>
    </row>
    <row r="51" spans="2:7">
      <c r="B51" s="1099" t="s">
        <v>502</v>
      </c>
      <c r="C51" s="748">
        <v>0</v>
      </c>
      <c r="D51" s="1100" t="s">
        <v>923</v>
      </c>
      <c r="E51" s="747">
        <v>0</v>
      </c>
      <c r="F51" s="850" t="s">
        <v>924</v>
      </c>
      <c r="G51" s="1101" t="s">
        <v>809</v>
      </c>
    </row>
    <row r="52" spans="2:7">
      <c r="B52" s="1099" t="str">
        <f>C66</f>
        <v xml:space="preserve"> Competenza  </v>
      </c>
      <c r="C52" s="1102">
        <f>F45</f>
        <v>0.19670000000000001</v>
      </c>
      <c r="D52" s="1103" t="s">
        <v>881</v>
      </c>
      <c r="E52" s="1104">
        <v>0</v>
      </c>
      <c r="F52" s="1105" t="s">
        <v>866</v>
      </c>
      <c r="G52" s="1106" t="s">
        <v>867</v>
      </c>
    </row>
    <row r="53" spans="2:7">
      <c r="B53" s="1107" t="s">
        <v>67</v>
      </c>
      <c r="C53" s="1102">
        <v>0</v>
      </c>
      <c r="D53" s="1103" t="s">
        <v>882</v>
      </c>
      <c r="E53" s="1104">
        <v>0</v>
      </c>
      <c r="F53" s="1105" t="s">
        <v>866</v>
      </c>
      <c r="G53" s="1106" t="s">
        <v>925</v>
      </c>
    </row>
    <row r="54" spans="2:7">
      <c r="B54" s="1107" t="s">
        <v>68</v>
      </c>
      <c r="C54" s="1102">
        <v>0.1</v>
      </c>
      <c r="D54" s="1103" t="s">
        <v>883</v>
      </c>
      <c r="E54" s="1104">
        <v>0.02</v>
      </c>
      <c r="F54" s="1105" t="s">
        <v>924</v>
      </c>
      <c r="G54" s="1106" t="s">
        <v>868</v>
      </c>
    </row>
    <row r="55" spans="2:7">
      <c r="B55" s="1108" t="s">
        <v>69</v>
      </c>
      <c r="C55" s="1109">
        <v>0</v>
      </c>
      <c r="D55" s="1110" t="s">
        <v>884</v>
      </c>
      <c r="E55" s="1111">
        <v>0.03</v>
      </c>
      <c r="F55" s="1105" t="s">
        <v>926</v>
      </c>
      <c r="G55" s="1106" t="s">
        <v>810</v>
      </c>
    </row>
    <row r="56" spans="2:7" s="98" customFormat="1">
      <c r="B56" s="1108" t="s">
        <v>873</v>
      </c>
      <c r="C56" s="1109">
        <v>0</v>
      </c>
      <c r="D56" s="1103" t="s">
        <v>885</v>
      </c>
      <c r="E56" s="1104">
        <v>0</v>
      </c>
      <c r="F56" s="1105" t="s">
        <v>927</v>
      </c>
      <c r="G56" s="1106" t="s">
        <v>869</v>
      </c>
    </row>
    <row r="57" spans="2:7" s="98" customFormat="1" ht="14.5" thickBot="1">
      <c r="B57" s="1050"/>
      <c r="C57" s="1051"/>
      <c r="D57" s="1052" t="s">
        <v>886</v>
      </c>
      <c r="E57" s="1053">
        <v>0</v>
      </c>
      <c r="F57" s="1054" t="s">
        <v>927</v>
      </c>
      <c r="G57" s="1112" t="s">
        <v>870</v>
      </c>
    </row>
    <row r="58" spans="2:7" ht="14">
      <c r="B58" s="1113" t="s">
        <v>961</v>
      </c>
      <c r="C58" s="363" t="s">
        <v>70</v>
      </c>
      <c r="D58" s="364" t="s">
        <v>71</v>
      </c>
      <c r="E58" s="1146" t="s">
        <v>962</v>
      </c>
      <c r="F58" s="1244" t="s">
        <v>72</v>
      </c>
      <c r="G58" s="1245"/>
    </row>
    <row r="59" spans="2:7" ht="14">
      <c r="B59" s="1114" t="s">
        <v>73</v>
      </c>
      <c r="C59" s="1115" t="s">
        <v>74</v>
      </c>
      <c r="D59" s="1116" t="s">
        <v>75</v>
      </c>
      <c r="E59" s="1117" t="s">
        <v>76</v>
      </c>
      <c r="F59" s="1246" t="s">
        <v>77</v>
      </c>
      <c r="G59" s="1247"/>
    </row>
    <row r="60" spans="2:7" ht="14">
      <c r="B60" s="1114" t="s">
        <v>78</v>
      </c>
      <c r="C60" s="1118" t="s">
        <v>70</v>
      </c>
      <c r="D60" s="1116" t="s">
        <v>79</v>
      </c>
      <c r="E60" s="1147" t="s">
        <v>963</v>
      </c>
      <c r="F60" s="1246" t="s">
        <v>80</v>
      </c>
      <c r="G60" s="1247"/>
    </row>
    <row r="61" spans="2:7" ht="14">
      <c r="B61" s="1114" t="s">
        <v>81</v>
      </c>
      <c r="C61" s="1119" t="s">
        <v>82</v>
      </c>
      <c r="D61" s="1120" t="s">
        <v>83</v>
      </c>
      <c r="E61" s="1121" t="s">
        <v>84</v>
      </c>
      <c r="F61" s="1246" t="s">
        <v>85</v>
      </c>
      <c r="G61" s="1247"/>
    </row>
    <row r="62" spans="2:7">
      <c r="B62" s="1114" t="s">
        <v>86</v>
      </c>
      <c r="C62" s="1114" t="s">
        <v>87</v>
      </c>
      <c r="D62" s="1261" t="s">
        <v>88</v>
      </c>
      <c r="E62" s="1261"/>
      <c r="F62" s="1261"/>
      <c r="G62" s="1262"/>
    </row>
    <row r="63" spans="2:7" ht="12.75" customHeight="1">
      <c r="B63" s="1122" t="s">
        <v>70</v>
      </c>
      <c r="C63" s="1114" t="s">
        <v>89</v>
      </c>
      <c r="D63" s="1263" t="s">
        <v>964</v>
      </c>
      <c r="E63" s="1263"/>
      <c r="F63" s="1263"/>
      <c r="G63" s="1264"/>
    </row>
    <row r="64" spans="2:7" ht="13" thickBot="1">
      <c r="B64" s="1123" t="s">
        <v>90</v>
      </c>
      <c r="C64" s="1114" t="s">
        <v>89</v>
      </c>
      <c r="D64" s="1265"/>
      <c r="E64" s="1265"/>
      <c r="F64" s="1265"/>
      <c r="G64" s="1266"/>
    </row>
    <row r="65" spans="2:7" ht="13.5" customHeight="1" thickBot="1">
      <c r="B65" s="1267" t="s">
        <v>91</v>
      </c>
      <c r="C65" s="1268"/>
      <c r="D65" s="1268"/>
      <c r="E65" s="1268"/>
      <c r="F65" s="1268"/>
      <c r="G65" s="1269"/>
    </row>
    <row r="66" spans="2:7" ht="15.5">
      <c r="B66" s="373" t="s">
        <v>92</v>
      </c>
      <c r="C66" s="374" t="s">
        <v>911</v>
      </c>
      <c r="D66" s="375" t="s">
        <v>93</v>
      </c>
      <c r="E66" s="376" t="s">
        <v>94</v>
      </c>
      <c r="F66" s="1270">
        <v>0.15</v>
      </c>
      <c r="G66" s="1271"/>
    </row>
    <row r="67" spans="2:7" ht="15.5">
      <c r="B67" s="1124" t="s">
        <v>95</v>
      </c>
      <c r="C67" s="1125" t="s">
        <v>62</v>
      </c>
      <c r="D67" s="1126" t="s">
        <v>3</v>
      </c>
      <c r="E67" s="1126" t="s">
        <v>61</v>
      </c>
      <c r="F67" s="1272" t="s">
        <v>62</v>
      </c>
      <c r="G67" s="1273"/>
    </row>
    <row r="68" spans="2:7" ht="15.5">
      <c r="B68" s="1127" t="s">
        <v>96</v>
      </c>
      <c r="C68" s="1128" t="s">
        <v>97</v>
      </c>
      <c r="D68" s="1129" t="s">
        <v>98</v>
      </c>
      <c r="E68" s="1130" t="s">
        <v>94</v>
      </c>
      <c r="F68" s="1274">
        <v>0.18029999999999999</v>
      </c>
      <c r="G68" s="1275"/>
    </row>
    <row r="69" spans="2:7" ht="15.5">
      <c r="B69" s="1131" t="s">
        <v>99</v>
      </c>
      <c r="C69" s="1132" t="s">
        <v>100</v>
      </c>
      <c r="D69" s="1133" t="s">
        <v>3</v>
      </c>
      <c r="E69" s="1134" t="s">
        <v>99</v>
      </c>
      <c r="F69" s="1276" t="s">
        <v>100</v>
      </c>
      <c r="G69" s="1277"/>
    </row>
    <row r="70" spans="2:7" ht="15.5">
      <c r="B70" s="1135" t="s">
        <v>101</v>
      </c>
      <c r="C70" s="1136" t="s">
        <v>102</v>
      </c>
      <c r="D70" s="1137" t="s">
        <v>103</v>
      </c>
      <c r="E70" s="1138" t="s">
        <v>104</v>
      </c>
      <c r="F70" s="1252">
        <v>0.19670000000000001</v>
      </c>
      <c r="G70" s="1253"/>
    </row>
    <row r="71" spans="2:7" ht="16" thickBot="1">
      <c r="B71" s="1055" t="s">
        <v>105</v>
      </c>
      <c r="C71" s="1056" t="s">
        <v>106</v>
      </c>
      <c r="D71" s="1057" t="s">
        <v>3</v>
      </c>
      <c r="E71" s="1057" t="s">
        <v>107</v>
      </c>
      <c r="F71" s="1254" t="s">
        <v>106</v>
      </c>
      <c r="G71" s="1255"/>
    </row>
    <row r="72" spans="2:7" ht="18.75" customHeight="1" thickBot="1">
      <c r="B72" s="1256" t="s">
        <v>108</v>
      </c>
      <c r="C72" s="1257"/>
      <c r="D72" s="660" t="s">
        <v>109</v>
      </c>
      <c r="E72" s="660" t="s">
        <v>110</v>
      </c>
      <c r="F72" s="661" t="s">
        <v>111</v>
      </c>
      <c r="G72" s="660" t="s">
        <v>112</v>
      </c>
    </row>
    <row r="73" spans="2:7" ht="17.25" customHeight="1" thickBot="1">
      <c r="B73" s="1258"/>
      <c r="C73" s="1259"/>
      <c r="D73" s="369" t="s">
        <v>874</v>
      </c>
      <c r="E73" s="365" t="s">
        <v>928</v>
      </c>
      <c r="F73" s="366">
        <v>10</v>
      </c>
      <c r="G73" s="377" t="s">
        <v>113</v>
      </c>
    </row>
    <row r="74" spans="2:7">
      <c r="B74" s="662"/>
      <c r="C74" s="663" t="s">
        <v>36</v>
      </c>
      <c r="D74" s="1139" t="s">
        <v>114</v>
      </c>
      <c r="E74" s="1140" t="s">
        <v>115</v>
      </c>
      <c r="F74" s="1141">
        <v>8</v>
      </c>
      <c r="G74" s="1142" t="s">
        <v>116</v>
      </c>
    </row>
    <row r="75" spans="2:7">
      <c r="B75" s="662"/>
      <c r="C75" s="1143" t="s">
        <v>37</v>
      </c>
      <c r="D75" s="1139" t="s">
        <v>117</v>
      </c>
      <c r="E75" s="1140" t="s">
        <v>118</v>
      </c>
      <c r="F75" s="1141">
        <v>7</v>
      </c>
      <c r="G75" s="1142" t="s">
        <v>119</v>
      </c>
    </row>
    <row r="76" spans="2:7">
      <c r="B76" s="662"/>
      <c r="C76" s="1143" t="s">
        <v>38</v>
      </c>
      <c r="D76" s="1139"/>
      <c r="E76" s="1140"/>
      <c r="F76" s="1141"/>
      <c r="G76" s="1142"/>
    </row>
    <row r="77" spans="2:7">
      <c r="B77" s="662"/>
      <c r="C77" s="1143" t="s">
        <v>39</v>
      </c>
      <c r="D77" s="1139"/>
      <c r="E77" s="1140"/>
      <c r="F77" s="1141"/>
      <c r="G77" s="1142"/>
    </row>
    <row r="78" spans="2:7">
      <c r="B78" s="662"/>
      <c r="C78" s="1143" t="s">
        <v>40</v>
      </c>
      <c r="D78" s="1139"/>
      <c r="E78" s="1140"/>
      <c r="F78" s="1141"/>
      <c r="G78" s="1142"/>
    </row>
    <row r="79" spans="2:7" ht="13" thickBot="1">
      <c r="B79" s="662"/>
      <c r="C79" s="1058" t="s">
        <v>41</v>
      </c>
      <c r="D79" s="1059"/>
      <c r="E79" s="1060"/>
      <c r="F79" s="1061"/>
      <c r="G79" s="1062"/>
    </row>
    <row r="80" spans="2:7">
      <c r="B80" s="367" t="s">
        <v>120</v>
      </c>
      <c r="C80" s="368" t="s">
        <v>121</v>
      </c>
      <c r="D80" s="1260" t="s">
        <v>122</v>
      </c>
      <c r="E80" s="1260"/>
      <c r="F80" s="1260"/>
      <c r="G80" s="1260"/>
    </row>
  </sheetData>
  <sheetProtection algorithmName="SHA-512" hashValue="wxmF0OgEOCiPMD46v0c3c0WBlZBEQ+2lPeTyOPvEYTpkptyAiUZgT2GmLIrhcrIplAQ1WU1khcHi2tJ9p3IjPQ==" saltValue="EPtSB++qPHIrKEz+I9wbXA==" spinCount="100000" sheet="1" objects="1" scenarios="1"/>
  <mergeCells count="95">
    <mergeCell ref="F70:G70"/>
    <mergeCell ref="F71:G71"/>
    <mergeCell ref="B72:C73"/>
    <mergeCell ref="D80:G80"/>
    <mergeCell ref="D62:G62"/>
    <mergeCell ref="D63:G64"/>
    <mergeCell ref="B65:G65"/>
    <mergeCell ref="F66:G66"/>
    <mergeCell ref="F67:G67"/>
    <mergeCell ref="F68:G68"/>
    <mergeCell ref="F69:G69"/>
    <mergeCell ref="F58:G58"/>
    <mergeCell ref="F59:G59"/>
    <mergeCell ref="F60:G60"/>
    <mergeCell ref="F61:G61"/>
    <mergeCell ref="B50:C50"/>
    <mergeCell ref="E50:G50"/>
    <mergeCell ref="B49:C49"/>
    <mergeCell ref="F49:G49"/>
    <mergeCell ref="B42:C42"/>
    <mergeCell ref="F42:G42"/>
    <mergeCell ref="B43:C43"/>
    <mergeCell ref="F43:G43"/>
    <mergeCell ref="B44:G44"/>
    <mergeCell ref="F45:G45"/>
    <mergeCell ref="F46:G46"/>
    <mergeCell ref="B47:C47"/>
    <mergeCell ref="D47:G47"/>
    <mergeCell ref="B48:C48"/>
    <mergeCell ref="F48:G48"/>
    <mergeCell ref="B30:C30"/>
    <mergeCell ref="F30:G30"/>
    <mergeCell ref="C38:G38"/>
    <mergeCell ref="B40:C40"/>
    <mergeCell ref="F40:G40"/>
    <mergeCell ref="B41:C41"/>
    <mergeCell ref="F41:G41"/>
    <mergeCell ref="D14:G14"/>
    <mergeCell ref="B15:C15"/>
    <mergeCell ref="B28:C28"/>
    <mergeCell ref="F28:G28"/>
    <mergeCell ref="B29:C29"/>
    <mergeCell ref="B27:C27"/>
    <mergeCell ref="F27:G27"/>
    <mergeCell ref="B22:C22"/>
    <mergeCell ref="D22:G22"/>
    <mergeCell ref="B23:C23"/>
    <mergeCell ref="D23:G23"/>
    <mergeCell ref="B24:C24"/>
    <mergeCell ref="B25:C25"/>
    <mergeCell ref="D25:G25"/>
    <mergeCell ref="B26:C26"/>
    <mergeCell ref="F26:G26"/>
    <mergeCell ref="B12:C12"/>
    <mergeCell ref="F15:G15"/>
    <mergeCell ref="D12:G12"/>
    <mergeCell ref="B13:C13"/>
    <mergeCell ref="D13:G13"/>
    <mergeCell ref="B14:C14"/>
    <mergeCell ref="D24:E24"/>
    <mergeCell ref="F24:G24"/>
    <mergeCell ref="B16:C16"/>
    <mergeCell ref="D16:G16"/>
    <mergeCell ref="B17:C17"/>
    <mergeCell ref="F17:G17"/>
    <mergeCell ref="B21:C21"/>
    <mergeCell ref="D21:E21"/>
    <mergeCell ref="C2:D2"/>
    <mergeCell ref="F2:G2"/>
    <mergeCell ref="B6:C6"/>
    <mergeCell ref="F6:G6"/>
    <mergeCell ref="F4:G4"/>
    <mergeCell ref="B5:C5"/>
    <mergeCell ref="D5:E5"/>
    <mergeCell ref="F5:G5"/>
    <mergeCell ref="F3:G3"/>
    <mergeCell ref="B4:D4"/>
    <mergeCell ref="B9:C9"/>
    <mergeCell ref="F9:G9"/>
    <mergeCell ref="B10:C10"/>
    <mergeCell ref="D10:G10"/>
    <mergeCell ref="B11:G11"/>
    <mergeCell ref="B7:C7"/>
    <mergeCell ref="D7:G7"/>
    <mergeCell ref="B8:C8"/>
    <mergeCell ref="D8:E8"/>
    <mergeCell ref="F8:G8"/>
    <mergeCell ref="F21:G21"/>
    <mergeCell ref="B18:C18"/>
    <mergeCell ref="F18:G18"/>
    <mergeCell ref="B19:C19"/>
    <mergeCell ref="F19:G19"/>
    <mergeCell ref="B20:C20"/>
    <mergeCell ref="F20:G20"/>
    <mergeCell ref="D19:E19"/>
  </mergeCells>
  <phoneticPr fontId="16" type="noConversion"/>
  <dataValidations count="1">
    <dataValidation type="list" errorStyle="warning" allowBlank="1" showInputMessage="1" showErrorMessage="1" errorTitle="Escolha uma das opções da lista" error="Escolha uma das opções da lista" promptTitle="Escolher uma opção da lista" prompt="Escolher uma opção da lista" sqref="B27:C27" xr:uid="{39D90012-FE15-428B-A036-624CBE415B72}">
      <formula1>$C$74:$C$79</formula1>
    </dataValidation>
  </dataValidations>
  <hyperlinks>
    <hyperlink ref="B70" r:id="rId1" xr:uid="{2B8677FD-0FB6-4CC9-AB44-9FE6BCDA03DC}"/>
    <hyperlink ref="B68" r:id="rId2" xr:uid="{1DDDBD2A-8F38-4297-9293-360143698084}"/>
    <hyperlink ref="D23" r:id="rId3" display="cadilhomodulados@gmail.com" xr:uid="{73171DA1-296D-4EC5-A35A-4887E936443C}"/>
    <hyperlink ref="D25" r:id="rId4" display="cadilhomodulados@gmail.com" xr:uid="{921CB810-1131-4D7F-B60C-394442E153D7}"/>
    <hyperlink ref="B63" r:id="rId5" xr:uid="{48975AFE-A9A2-4CC9-A4FA-E1E9C67834A8}"/>
    <hyperlink ref="C58" r:id="rId6" xr:uid="{3032825B-62A4-404F-8FA7-52F6072C536A}"/>
    <hyperlink ref="C60" r:id="rId7" xr:uid="{68A3F3A3-F3DF-4F9B-9C4D-07455E888A6F}"/>
    <hyperlink ref="E58" r:id="rId8" xr:uid="{09B4CF28-70C1-400C-8C40-574E849D7DB5}"/>
    <hyperlink ref="E59" r:id="rId9" xr:uid="{772F1085-BE06-43FE-8BD1-908003075FBF}"/>
    <hyperlink ref="E60" r:id="rId10" xr:uid="{BE533A3D-AAD8-452B-9EE7-A7C00BC9CC55}"/>
    <hyperlink ref="E61" r:id="rId11" xr:uid="{59F18B12-D471-410C-979D-67A5C7B43F9A}"/>
    <hyperlink ref="F61" r:id="rId12" xr:uid="{3BBC7E8B-ECD0-4200-A794-5BFE59423AB8}"/>
    <hyperlink ref="C2" r:id="rId13" xr:uid="{D3D977C3-6769-4785-98AC-FA91ECC7AA00}"/>
  </hyperlinks>
  <printOptions horizontalCentered="1" verticalCentered="1"/>
  <pageMargins left="0.39370078740157483" right="0" top="0" bottom="0" header="0.11811023622047245" footer="0.11811023622047245"/>
  <pageSetup paperSize="9" scale="70" orientation="portrait" horizontalDpi="0" verticalDpi="0" r:id="rId1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9">
    <tabColor rgb="FF00B0F0"/>
    <pageSetUpPr fitToPage="1"/>
  </sheetPr>
  <dimension ref="A1:AB148"/>
  <sheetViews>
    <sheetView showGridLines="0" topLeftCell="D7" zoomScale="85" zoomScaleNormal="85" workbookViewId="0">
      <selection activeCell="D7" sqref="A1:XFD1048576"/>
    </sheetView>
  </sheetViews>
  <sheetFormatPr defaultColWidth="9.1796875" defaultRowHeight="13"/>
  <cols>
    <col min="1" max="1" width="12.453125" style="991" customWidth="1"/>
    <col min="2" max="2" width="3.54296875" style="995" customWidth="1"/>
    <col min="3" max="3" width="9.54296875" style="991" customWidth="1"/>
    <col min="4" max="4" width="27.54296875" style="993" customWidth="1"/>
    <col min="5" max="5" width="11.1796875" style="991" customWidth="1"/>
    <col min="6" max="6" width="12.26953125" style="993" customWidth="1"/>
    <col min="7" max="7" width="4.90625" style="976" customWidth="1"/>
    <col min="8" max="8" width="16.54296875" style="991" bestFit="1" customWidth="1"/>
    <col min="9" max="9" width="5.81640625" style="993" customWidth="1"/>
    <col min="10" max="10" width="9.7265625" style="993" customWidth="1"/>
    <col min="11" max="11" width="10.1796875" style="991" customWidth="1"/>
    <col min="12" max="12" width="1.1796875" style="976" customWidth="1"/>
    <col min="13" max="13" width="10.7265625" style="991" customWidth="1"/>
    <col min="14" max="14" width="7.26953125" style="993" customWidth="1"/>
    <col min="15" max="15" width="9.7265625" style="993" customWidth="1"/>
    <col min="16" max="16" width="13.26953125" style="993" customWidth="1"/>
    <col min="17" max="17" width="11.7265625" style="976" customWidth="1"/>
    <col min="18" max="18" width="9" style="991" customWidth="1"/>
    <col min="19" max="19" width="6.7265625" style="993" customWidth="1"/>
    <col min="20" max="20" width="10.81640625" style="976" customWidth="1"/>
    <col min="21" max="21" width="13.54296875" style="975" customWidth="1"/>
    <col min="22" max="22" width="26.453125" style="976" bestFit="1" customWidth="1"/>
    <col min="23" max="23" width="1.453125" style="976" customWidth="1"/>
    <col min="24" max="24" width="15" style="976" bestFit="1" customWidth="1"/>
    <col min="25" max="25" width="9.7265625" style="976" customWidth="1"/>
    <col min="26" max="26" width="13.453125" style="976" bestFit="1" customWidth="1"/>
    <col min="27" max="27" width="9.453125" style="976" bestFit="1" customWidth="1"/>
    <col min="28" max="28" width="10.453125" style="976" bestFit="1" customWidth="1"/>
    <col min="29" max="29" width="9.1796875" style="976"/>
    <col min="30" max="30" width="9.1796875" style="976" customWidth="1"/>
    <col min="31" max="16384" width="9.1796875" style="976"/>
  </cols>
  <sheetData>
    <row r="1" spans="1:28" s="971" customFormat="1" ht="12" customHeight="1" thickBot="1">
      <c r="A1" s="1983" t="s">
        <v>736</v>
      </c>
      <c r="B1" s="1984"/>
      <c r="C1" s="1984"/>
      <c r="D1" s="1985"/>
      <c r="E1" s="965"/>
      <c r="F1" s="1986" t="s">
        <v>902</v>
      </c>
      <c r="G1" s="1987"/>
      <c r="H1" s="966">
        <f ca="1">NOW()</f>
        <v>46153.671254745372</v>
      </c>
      <c r="I1" s="967"/>
      <c r="J1" s="968"/>
      <c r="K1" s="968"/>
      <c r="L1" s="968"/>
      <c r="M1" s="968"/>
      <c r="N1" s="968"/>
      <c r="O1" s="968"/>
      <c r="P1" s="968"/>
      <c r="Q1" s="968"/>
      <c r="R1" s="968"/>
      <c r="S1" s="968"/>
      <c r="T1" s="969"/>
      <c r="U1" s="970"/>
      <c r="V1" s="970"/>
      <c r="W1" s="970"/>
      <c r="X1" s="1971" t="s">
        <v>737</v>
      </c>
      <c r="Y1" s="1972"/>
      <c r="Z1" s="1972"/>
      <c r="AA1" s="1972"/>
      <c r="AB1" s="1973"/>
    </row>
    <row r="2" spans="1:28" ht="19.5" thickBot="1">
      <c r="A2" s="972"/>
      <c r="B2" s="973"/>
      <c r="C2" s="973"/>
      <c r="D2" s="973"/>
      <c r="E2" s="2004" t="s">
        <v>738</v>
      </c>
      <c r="F2" s="2005"/>
      <c r="G2" s="2006"/>
      <c r="H2" s="974">
        <v>46386</v>
      </c>
      <c r="I2" s="2007" t="str">
        <f>C62</f>
        <v>Preencha os campos em amarelo. MK 400</v>
      </c>
      <c r="J2" s="2008"/>
      <c r="K2" s="2008"/>
      <c r="L2" s="2008"/>
      <c r="M2" s="2008"/>
      <c r="N2" s="2008"/>
      <c r="O2" s="2009"/>
      <c r="P2" s="2010"/>
      <c r="Q2" s="2010"/>
      <c r="R2" s="2010"/>
      <c r="S2" s="2010"/>
      <c r="T2" s="2010"/>
      <c r="X2" s="977" t="s">
        <v>235</v>
      </c>
      <c r="Y2" s="977" t="s">
        <v>739</v>
      </c>
      <c r="Z2" s="978" t="s">
        <v>259</v>
      </c>
      <c r="AA2" s="978" t="s">
        <v>260</v>
      </c>
      <c r="AB2" s="979" t="s">
        <v>261</v>
      </c>
    </row>
    <row r="3" spans="1:28" ht="14.5" thickBot="1">
      <c r="A3" s="2015" t="s">
        <v>720</v>
      </c>
      <c r="B3" s="2016"/>
      <c r="C3" s="2016"/>
      <c r="D3" s="2016"/>
      <c r="E3" s="2017"/>
      <c r="F3" s="2017"/>
      <c r="G3" s="2017"/>
      <c r="H3" s="2016"/>
      <c r="I3" s="2017"/>
      <c r="J3" s="2017"/>
      <c r="K3" s="2017"/>
      <c r="L3" s="2018"/>
      <c r="M3" s="2013" t="s">
        <v>740</v>
      </c>
      <c r="N3" s="2014"/>
      <c r="O3" s="980"/>
      <c r="P3" s="1989"/>
      <c r="Q3" s="1989"/>
      <c r="R3" s="1989"/>
      <c r="S3" s="1989"/>
      <c r="T3" s="1989"/>
      <c r="X3" s="981" t="str">
        <f>'3Orçto'!B11</f>
        <v xml:space="preserve">(0) 1+00=01 X </v>
      </c>
      <c r="Y3" s="981">
        <v>1</v>
      </c>
      <c r="Z3" s="982">
        <f>'3Orçto'!D11</f>
        <v>26500</v>
      </c>
      <c r="AA3" s="983">
        <f>'3Orçto'!E11</f>
        <v>-0.47</v>
      </c>
      <c r="AB3" s="984">
        <f>'3Orçto'!F11</f>
        <v>26500</v>
      </c>
    </row>
    <row r="4" spans="1:28" ht="16" thickBot="1">
      <c r="A4" s="1949" t="s">
        <v>539</v>
      </c>
      <c r="B4" s="1950"/>
      <c r="C4" s="1990"/>
      <c r="D4" s="1991"/>
      <c r="E4" s="985"/>
      <c r="F4" s="985"/>
      <c r="G4" s="986"/>
      <c r="H4" s="987"/>
      <c r="I4" s="2001" t="s">
        <v>741</v>
      </c>
      <c r="J4" s="2002"/>
      <c r="K4" s="2002"/>
      <c r="L4" s="2003"/>
      <c r="M4" s="1999"/>
      <c r="N4" s="2000"/>
      <c r="O4" s="988" t="s">
        <v>742</v>
      </c>
      <c r="P4" s="1988"/>
      <c r="Q4" s="1989"/>
      <c r="R4" s="1989"/>
      <c r="S4" s="1989"/>
      <c r="T4" s="1989"/>
      <c r="X4" s="981" t="str">
        <f>'3Orçto'!B12</f>
        <v xml:space="preserve">(0) 1+01=02 X </v>
      </c>
      <c r="Y4" s="981">
        <f t="shared" ref="Y4:Y40" si="0">Y3+1</f>
        <v>2</v>
      </c>
      <c r="Z4" s="982">
        <f ca="1">'3Orçto'!D12</f>
        <v>13509</v>
      </c>
      <c r="AA4" s="983">
        <f ca="1">'3Orçto'!E12</f>
        <v>-0.45964000000000005</v>
      </c>
      <c r="AB4" s="984">
        <f ca="1">'3Orçto'!F12</f>
        <v>27018</v>
      </c>
    </row>
    <row r="5" spans="1:28" ht="13.5" thickBot="1">
      <c r="A5" s="1951"/>
      <c r="B5" s="1951"/>
      <c r="C5" s="1951"/>
      <c r="D5" s="1951"/>
      <c r="E5" s="1951"/>
      <c r="F5" s="1951"/>
      <c r="G5" s="1951"/>
      <c r="H5" s="1951"/>
      <c r="I5" s="1951"/>
      <c r="J5" s="1951"/>
      <c r="K5" s="1951"/>
      <c r="L5" s="1951"/>
      <c r="M5" s="1977" t="s">
        <v>743</v>
      </c>
      <c r="N5" s="1978"/>
      <c r="O5" s="1979"/>
      <c r="P5" s="1951"/>
      <c r="Q5" s="1951"/>
      <c r="R5" s="1951"/>
      <c r="S5" s="1951"/>
      <c r="T5" s="1951"/>
      <c r="X5" s="981" t="str">
        <f>'3Orçto'!B13</f>
        <v xml:space="preserve">(0) 1+02=03 X </v>
      </c>
      <c r="Y5" s="981">
        <f t="shared" si="0"/>
        <v>3</v>
      </c>
      <c r="Z5" s="982">
        <f ca="1">'3Orçto'!D13</f>
        <v>9142</v>
      </c>
      <c r="AA5" s="983">
        <f ca="1">'3Orçto'!E13</f>
        <v>-0.45147999999999999</v>
      </c>
      <c r="AB5" s="984">
        <f ca="1">'3Orçto'!F13</f>
        <v>27426</v>
      </c>
    </row>
    <row r="6" spans="1:28" ht="13.5" thickBot="1">
      <c r="A6" s="989" t="s">
        <v>744</v>
      </c>
      <c r="B6" s="989"/>
      <c r="C6" s="989"/>
      <c r="D6" s="990" t="s">
        <v>745</v>
      </c>
      <c r="E6" s="1962" t="s">
        <v>746</v>
      </c>
      <c r="F6" s="1962"/>
      <c r="I6" s="1955"/>
      <c r="J6" s="1955"/>
      <c r="K6" s="1955"/>
      <c r="L6" s="1955"/>
      <c r="M6" s="1955"/>
      <c r="N6" s="1955"/>
      <c r="P6" s="1955"/>
      <c r="Q6" s="1955"/>
      <c r="R6" s="1955"/>
      <c r="S6" s="1955"/>
      <c r="T6" s="1955"/>
      <c r="X6" s="981" t="str">
        <f>'3Orçto'!B14</f>
        <v xml:space="preserve">(0) 1+03=04 X </v>
      </c>
      <c r="Y6" s="981">
        <f t="shared" si="0"/>
        <v>4</v>
      </c>
      <c r="Z6" s="982">
        <f ca="1">'3Orçto'!D14</f>
        <v>6951</v>
      </c>
      <c r="AA6" s="983">
        <f ca="1">'3Orçto'!E14</f>
        <v>-0.44391999999999998</v>
      </c>
      <c r="AB6" s="984">
        <f ca="1">'3Orçto'!F14</f>
        <v>27804</v>
      </c>
    </row>
    <row r="7" spans="1:28" ht="13.5" thickBot="1">
      <c r="A7" s="1963" t="s">
        <v>747</v>
      </c>
      <c r="B7" s="1964"/>
      <c r="C7" s="1965"/>
      <c r="D7" s="994" t="s">
        <v>748</v>
      </c>
      <c r="E7" s="1962" t="s">
        <v>749</v>
      </c>
      <c r="F7" s="1962"/>
      <c r="I7" s="1955"/>
      <c r="J7" s="1955"/>
      <c r="K7" s="1955"/>
      <c r="L7" s="1955"/>
      <c r="M7" s="1955"/>
      <c r="N7" s="1955"/>
      <c r="P7" s="1955"/>
      <c r="Q7" s="1955"/>
      <c r="R7" s="1955"/>
      <c r="S7" s="1955"/>
      <c r="T7" s="1955"/>
      <c r="X7" s="981" t="str">
        <f>'3Orçto'!B15</f>
        <v xml:space="preserve">(0) 1+04=05 X </v>
      </c>
      <c r="Y7" s="981">
        <f t="shared" si="0"/>
        <v>5</v>
      </c>
      <c r="Z7" s="982">
        <f ca="1">'3Orçto'!D15</f>
        <v>5635</v>
      </c>
      <c r="AA7" s="983">
        <f ca="1">'3Orçto'!E15</f>
        <v>-0.4365</v>
      </c>
      <c r="AB7" s="984">
        <f ca="1">'3Orçto'!F15</f>
        <v>28175</v>
      </c>
    </row>
    <row r="8" spans="1:28" ht="13.5" thickBot="1">
      <c r="A8" s="1963" t="s">
        <v>750</v>
      </c>
      <c r="B8" s="1964"/>
      <c r="C8" s="1965"/>
      <c r="D8" s="994" t="s">
        <v>751</v>
      </c>
      <c r="E8" s="1962" t="s">
        <v>752</v>
      </c>
      <c r="F8" s="1962"/>
      <c r="I8" s="1955"/>
      <c r="J8" s="1955"/>
      <c r="K8" s="1955"/>
      <c r="L8" s="1955"/>
      <c r="M8" s="1955"/>
      <c r="N8" s="1955"/>
      <c r="P8" s="1955"/>
      <c r="Q8" s="1955"/>
      <c r="R8" s="1955"/>
      <c r="S8" s="1955"/>
      <c r="T8" s="1955"/>
      <c r="X8" s="981" t="str">
        <f>'3Orçto'!B16</f>
        <v xml:space="preserve">(0) 1+05=06 X </v>
      </c>
      <c r="Y8" s="981">
        <f t="shared" si="0"/>
        <v>6</v>
      </c>
      <c r="Z8" s="982">
        <f ca="1">'3Orçto'!D16</f>
        <v>4758</v>
      </c>
      <c r="AA8" s="983">
        <f ca="1">'3Orçto'!E16</f>
        <v>-0.42903999999999998</v>
      </c>
      <c r="AB8" s="984">
        <f ca="1">'3Orçto'!F16</f>
        <v>28548</v>
      </c>
    </row>
    <row r="9" spans="1:28" ht="13.5" thickBot="1">
      <c r="A9" s="1963" t="s">
        <v>753</v>
      </c>
      <c r="B9" s="1964"/>
      <c r="C9" s="1965"/>
      <c r="D9" s="994" t="s">
        <v>754</v>
      </c>
      <c r="E9" s="1962">
        <v>123</v>
      </c>
      <c r="F9" s="1962"/>
      <c r="I9" s="992"/>
      <c r="J9" s="992"/>
      <c r="K9" s="992"/>
      <c r="L9" s="992"/>
      <c r="M9" s="992"/>
      <c r="N9" s="992"/>
      <c r="P9" s="992"/>
      <c r="Q9" s="992"/>
      <c r="R9" s="992"/>
      <c r="S9" s="992"/>
      <c r="T9" s="992"/>
      <c r="X9" s="981" t="str">
        <f>'3Orçto'!B17</f>
        <v xml:space="preserve">(0) 1+06=07 X </v>
      </c>
      <c r="Y9" s="981">
        <f t="shared" si="0"/>
        <v>7</v>
      </c>
      <c r="Z9" s="982">
        <f ca="1">'3Orçto'!D17</f>
        <v>4131</v>
      </c>
      <c r="AA9" s="983">
        <f ca="1">'3Orçto'!E17</f>
        <v>-0.42166000000000003</v>
      </c>
      <c r="AB9" s="984">
        <f ca="1">'3Orçto'!F17</f>
        <v>28917</v>
      </c>
    </row>
    <row r="10" spans="1:28" ht="13.5" thickBot="1">
      <c r="C10" s="976"/>
      <c r="D10" s="991"/>
      <c r="E10" s="993"/>
      <c r="G10" s="996"/>
      <c r="H10" s="976"/>
      <c r="I10" s="991"/>
      <c r="K10" s="993"/>
      <c r="L10" s="992"/>
      <c r="M10" s="976"/>
      <c r="N10" s="991"/>
      <c r="O10" s="1952" t="s">
        <v>755</v>
      </c>
      <c r="P10" s="1953"/>
      <c r="Q10" s="1954"/>
      <c r="R10" s="2019">
        <f ca="1">'3Orçto'!V8</f>
        <v>30404</v>
      </c>
      <c r="S10" s="1954"/>
      <c r="X10" s="981" t="str">
        <f>'3Orçto'!B18</f>
        <v xml:space="preserve">(0) 1+07=08 X </v>
      </c>
      <c r="Y10" s="981">
        <f t="shared" si="0"/>
        <v>8</v>
      </c>
      <c r="Z10" s="982">
        <f ca="1">'3Orçto'!D18</f>
        <v>3661</v>
      </c>
      <c r="AA10" s="983">
        <f ca="1">'3Orçto'!E18</f>
        <v>-0.41424000000000005</v>
      </c>
      <c r="AB10" s="984">
        <f ca="1">'3Orçto'!F18</f>
        <v>29288</v>
      </c>
    </row>
    <row r="11" spans="1:28" ht="13.5" thickBot="1">
      <c r="A11" s="997" t="s">
        <v>756</v>
      </c>
      <c r="B11" s="998" t="s">
        <v>757</v>
      </c>
      <c r="C11" s="1968" t="s">
        <v>758</v>
      </c>
      <c r="D11" s="1969"/>
      <c r="E11" s="1956" t="s">
        <v>759</v>
      </c>
      <c r="F11" s="1956"/>
      <c r="G11" s="991"/>
      <c r="H11" s="1956" t="s">
        <v>760</v>
      </c>
      <c r="I11" s="1956"/>
      <c r="J11" s="991"/>
      <c r="K11" s="1000" t="s">
        <v>761</v>
      </c>
      <c r="L11" s="993"/>
      <c r="M11" s="1001" t="s">
        <v>762</v>
      </c>
      <c r="N11" s="991"/>
      <c r="O11" s="1957" t="s">
        <v>482</v>
      </c>
      <c r="P11" s="1958"/>
      <c r="Q11" s="1958"/>
      <c r="R11" s="1958"/>
      <c r="S11" s="1958"/>
      <c r="T11" s="1959"/>
      <c r="X11" s="981" t="str">
        <f>'3Orçto'!B19</f>
        <v xml:space="preserve">(0) 1+08=09 X </v>
      </c>
      <c r="Y11" s="981">
        <f t="shared" si="0"/>
        <v>9</v>
      </c>
      <c r="Z11" s="982">
        <f ca="1">'3Orçto'!D19</f>
        <v>3295</v>
      </c>
      <c r="AA11" s="983">
        <f ca="1">'3Orçto'!E19</f>
        <v>-0.40690000000000004</v>
      </c>
      <c r="AB11" s="984">
        <f ca="1">'3Orçto'!F19</f>
        <v>29655</v>
      </c>
    </row>
    <row r="12" spans="1:28" ht="13.5" thickBot="1">
      <c r="A12" s="1002" t="str">
        <f>'[6]F Lj'!B32</f>
        <v>1 - Adelir</v>
      </c>
      <c r="B12" s="998">
        <f>'[6]F Lj'!F32</f>
        <v>13</v>
      </c>
      <c r="C12" s="1966" t="str">
        <f>'[6]F Lj'!D32</f>
        <v>Vendedor(a) Projetista : Adelir Chaves</v>
      </c>
      <c r="D12" s="1967"/>
      <c r="E12" s="1952"/>
      <c r="F12" s="1954"/>
      <c r="G12" s="991"/>
      <c r="H12" s="1956" t="str">
        <f>'[6]F Lj'!C32</f>
        <v>140.946.647-77</v>
      </c>
      <c r="I12" s="1956"/>
      <c r="J12" s="991"/>
      <c r="K12" s="1003"/>
      <c r="L12" s="993"/>
      <c r="M12" s="1004"/>
      <c r="N12" s="991"/>
      <c r="O12" s="1974" t="s">
        <v>763</v>
      </c>
      <c r="P12" s="1975"/>
      <c r="Q12" s="1976"/>
      <c r="R12" s="2011">
        <f>'3Orçto'!G5</f>
        <v>50000</v>
      </c>
      <c r="S12" s="2012"/>
      <c r="T12" s="1006">
        <v>1</v>
      </c>
      <c r="X12" s="981" t="str">
        <f>'3Orçto'!B20</f>
        <v xml:space="preserve">(0) 1+09=10 X </v>
      </c>
      <c r="Y12" s="981">
        <f t="shared" si="0"/>
        <v>10</v>
      </c>
      <c r="Z12" s="982">
        <f ca="1">'3Orçto'!D20</f>
        <v>3003</v>
      </c>
      <c r="AA12" s="983">
        <f ca="1">'3Orçto'!E20</f>
        <v>-0.39939999999999998</v>
      </c>
      <c r="AB12" s="984">
        <f ca="1">'3Orçto'!F20</f>
        <v>30030</v>
      </c>
    </row>
    <row r="13" spans="1:28" ht="13.5" thickBot="1">
      <c r="A13" s="1002" t="str">
        <f>'[6]F Lj'!B33</f>
        <v>2 - Marco Antônio</v>
      </c>
      <c r="B13" s="998">
        <f>'[6]F Lj'!F33</f>
        <v>3</v>
      </c>
      <c r="C13" s="1966" t="str">
        <f>'[6]F Lj'!D33</f>
        <v>Vendedor(a) Projetista : Marco Antonio Soares Gonçalves</v>
      </c>
      <c r="D13" s="1967"/>
      <c r="E13" s="1956" t="s">
        <v>764</v>
      </c>
      <c r="F13" s="1956"/>
      <c r="G13" s="991"/>
      <c r="H13" s="1956" t="str">
        <f>'[6]F Lj'!C33</f>
        <v>439.973.927-49</v>
      </c>
      <c r="I13" s="1956"/>
      <c r="J13" s="991"/>
      <c r="K13" s="1003">
        <v>0.05</v>
      </c>
      <c r="L13" s="993"/>
      <c r="M13" s="1004">
        <v>0.02</v>
      </c>
      <c r="N13" s="991"/>
      <c r="O13" s="1960" t="s">
        <v>494</v>
      </c>
      <c r="P13" s="1970"/>
      <c r="Q13" s="1961"/>
      <c r="R13" s="2011">
        <f>R14-T23</f>
        <v>26500</v>
      </c>
      <c r="S13" s="2012"/>
      <c r="T13" s="1006">
        <f>T14-R23</f>
        <v>0.53</v>
      </c>
      <c r="X13" s="981" t="str">
        <f>'3Orçto'!B21</f>
        <v xml:space="preserve">(0) 1+10=11 X </v>
      </c>
      <c r="Y13" s="981">
        <f t="shared" si="0"/>
        <v>11</v>
      </c>
      <c r="Z13" s="982">
        <f ca="1">'3Orçto'!D21</f>
        <v>2764</v>
      </c>
      <c r="AA13" s="983">
        <f ca="1">'3Orçto'!E21</f>
        <v>-0.39192000000000005</v>
      </c>
      <c r="AB13" s="984">
        <f ca="1">'3Orçto'!F21</f>
        <v>30404</v>
      </c>
    </row>
    <row r="14" spans="1:28" ht="13.5" thickBot="1">
      <c r="A14" s="1002">
        <f>'[6]F Lj'!B34</f>
        <v>3</v>
      </c>
      <c r="B14" s="998" t="str">
        <f>'[6]F Lj'!F34</f>
        <v xml:space="preserve"> </v>
      </c>
      <c r="C14" s="1966" t="str">
        <f>'[6]F Lj'!D34</f>
        <v xml:space="preserve">  </v>
      </c>
      <c r="D14" s="1967"/>
      <c r="E14" s="1956" t="s">
        <v>765</v>
      </c>
      <c r="F14" s="1956"/>
      <c r="G14" s="991"/>
      <c r="H14" s="1956" t="str">
        <f>'[6]F Lj'!C34</f>
        <v xml:space="preserve"> </v>
      </c>
      <c r="I14" s="1956"/>
      <c r="J14" s="991"/>
      <c r="K14" s="1003">
        <v>0.1</v>
      </c>
      <c r="L14" s="993"/>
      <c r="M14" s="1004">
        <v>0.04</v>
      </c>
      <c r="N14" s="991"/>
      <c r="O14" s="1960" t="s">
        <v>492</v>
      </c>
      <c r="P14" s="1970"/>
      <c r="Q14" s="1961"/>
      <c r="R14" s="2011">
        <f>'3Orçto'!D7</f>
        <v>26500</v>
      </c>
      <c r="S14" s="2012"/>
      <c r="T14" s="1006">
        <f>R14/R12</f>
        <v>0.53</v>
      </c>
      <c r="X14" s="981" t="str">
        <f>'3Orçto'!B22</f>
        <v xml:space="preserve">(0) 1+11=12 X </v>
      </c>
      <c r="Y14" s="981">
        <f t="shared" si="0"/>
        <v>12</v>
      </c>
      <c r="Z14" s="982">
        <f ca="1">'3Orçto'!D22</f>
        <v>2566</v>
      </c>
      <c r="AA14" s="983">
        <f ca="1">'3Orçto'!E22</f>
        <v>-0.38415999999999995</v>
      </c>
      <c r="AB14" s="984">
        <f ca="1">'3Orçto'!F22</f>
        <v>30792</v>
      </c>
    </row>
    <row r="15" spans="1:28" ht="13.5" thickBot="1">
      <c r="A15" s="1002">
        <f>'[6]F Lj'!B35</f>
        <v>4</v>
      </c>
      <c r="B15" s="998" t="str">
        <f>'[6]F Lj'!F35</f>
        <v xml:space="preserve"> </v>
      </c>
      <c r="C15" s="1966" t="str">
        <f>'[6]F Lj'!D35</f>
        <v xml:space="preserve">  </v>
      </c>
      <c r="D15" s="1967"/>
      <c r="E15" s="1956" t="s">
        <v>766</v>
      </c>
      <c r="F15" s="1956"/>
      <c r="G15" s="991"/>
      <c r="H15" s="1956" t="str">
        <f>'[6]F Lj'!C35</f>
        <v xml:space="preserve"> </v>
      </c>
      <c r="I15" s="1956"/>
      <c r="J15" s="991"/>
      <c r="K15" s="1003">
        <v>0.15</v>
      </c>
      <c r="L15" s="993"/>
      <c r="M15" s="1004">
        <v>0.05</v>
      </c>
      <c r="N15" s="991"/>
      <c r="O15" s="1960" t="s">
        <v>767</v>
      </c>
      <c r="P15" s="1970"/>
      <c r="Q15" s="1961"/>
      <c r="R15" s="2011">
        <f>ROUNDUP(R12/5,0)</f>
        <v>10000</v>
      </c>
      <c r="S15" s="2012"/>
      <c r="T15" s="1006">
        <f>R15/R13</f>
        <v>0.37735849056603776</v>
      </c>
      <c r="X15" s="981" t="str">
        <f>'3Orçto'!B23</f>
        <v xml:space="preserve">(0) 1+12=13 X </v>
      </c>
      <c r="Y15" s="981">
        <f t="shared" si="0"/>
        <v>13</v>
      </c>
      <c r="Z15" s="982">
        <f ca="1">'3Orçto'!D23</f>
        <v>2397</v>
      </c>
      <c r="AA15" s="983">
        <f ca="1">'3Orçto'!E23</f>
        <v>-0.37678</v>
      </c>
      <c r="AB15" s="984">
        <f ca="1">'3Orçto'!F23</f>
        <v>31161</v>
      </c>
    </row>
    <row r="16" spans="1:28" ht="13.5" thickBot="1">
      <c r="A16" s="1002">
        <f>'[6]F Lj'!B36</f>
        <v>5</v>
      </c>
      <c r="B16" s="998" t="str">
        <f>'[6]F Lj'!F36</f>
        <v xml:space="preserve"> </v>
      </c>
      <c r="C16" s="1966" t="str">
        <f>'[6]F Lj'!D36</f>
        <v xml:space="preserve">  </v>
      </c>
      <c r="D16" s="1967"/>
      <c r="E16" s="1956" t="s">
        <v>768</v>
      </c>
      <c r="F16" s="1956"/>
      <c r="G16" s="991"/>
      <c r="H16" s="1956" t="str">
        <f>'[6]F Lj'!C36</f>
        <v xml:space="preserve"> </v>
      </c>
      <c r="I16" s="1956"/>
      <c r="J16" s="991"/>
      <c r="K16" s="1003">
        <v>0.2</v>
      </c>
      <c r="L16" s="993"/>
      <c r="M16" s="1004">
        <v>7.0000000000000007E-2</v>
      </c>
      <c r="N16" s="991"/>
      <c r="O16" s="1960" t="s">
        <v>769</v>
      </c>
      <c r="P16" s="1970"/>
      <c r="Q16" s="1961"/>
      <c r="R16" s="2011">
        <f>T42</f>
        <v>8074</v>
      </c>
      <c r="S16" s="2012"/>
      <c r="T16" s="1006">
        <f>R16/R13</f>
        <v>0.30467924528301887</v>
      </c>
      <c r="X16" s="981" t="str">
        <f>'3Orçto'!B24</f>
        <v xml:space="preserve">(0) 1+13=14 X </v>
      </c>
      <c r="Y16" s="981">
        <f t="shared" si="0"/>
        <v>14</v>
      </c>
      <c r="Z16" s="982">
        <f ca="1">'3Orçto'!D24</f>
        <v>2254</v>
      </c>
      <c r="AA16" s="983">
        <f ca="1">'3Orçto'!E24</f>
        <v>-0.36887999999999999</v>
      </c>
      <c r="AB16" s="984">
        <f ca="1">'3Orçto'!F24</f>
        <v>31556</v>
      </c>
    </row>
    <row r="17" spans="1:28" ht="13.5" thickBot="1">
      <c r="A17" s="1002">
        <f>'[6]F Lj'!B37</f>
        <v>6</v>
      </c>
      <c r="B17" s="998" t="str">
        <f>'[6]F Lj'!F37</f>
        <v xml:space="preserve"> </v>
      </c>
      <c r="C17" s="1966" t="str">
        <f>'[6]F Lj'!D37</f>
        <v xml:space="preserve">  </v>
      </c>
      <c r="D17" s="1967"/>
      <c r="E17" s="1956" t="s">
        <v>619</v>
      </c>
      <c r="F17" s="1956"/>
      <c r="G17" s="991"/>
      <c r="H17" s="1956" t="str">
        <f>'[6]F Lj'!C37</f>
        <v xml:space="preserve"> </v>
      </c>
      <c r="I17" s="1956"/>
      <c r="J17" s="991"/>
      <c r="K17" s="1003">
        <v>0.25</v>
      </c>
      <c r="L17" s="993"/>
      <c r="M17" s="1004">
        <v>0.1</v>
      </c>
      <c r="N17" s="991"/>
      <c r="O17" s="1960" t="s">
        <v>770</v>
      </c>
      <c r="P17" s="1970"/>
      <c r="Q17" s="1961"/>
      <c r="R17" s="2011">
        <f>T45</f>
        <v>8426</v>
      </c>
      <c r="S17" s="2012"/>
      <c r="T17" s="1006">
        <f>R17/R13</f>
        <v>0.31796226415094342</v>
      </c>
      <c r="U17" s="976"/>
      <c r="X17" s="981" t="str">
        <f>'3Orçto'!B25</f>
        <v xml:space="preserve">(0) 1+14=15 X </v>
      </c>
      <c r="Y17" s="981">
        <f t="shared" si="0"/>
        <v>15</v>
      </c>
      <c r="Z17" s="982">
        <f ca="1">'3Orçto'!D25</f>
        <v>2129</v>
      </c>
      <c r="AA17" s="983">
        <f ca="1">'3Orçto'!E25</f>
        <v>-0.36129999999999995</v>
      </c>
      <c r="AB17" s="984">
        <f ca="1">'3Orçto'!F25</f>
        <v>31935</v>
      </c>
    </row>
    <row r="18" spans="1:28" ht="13.5" thickBot="1">
      <c r="A18" s="993"/>
      <c r="C18" s="2021"/>
      <c r="D18" s="2021"/>
      <c r="E18" s="1956" t="s">
        <v>771</v>
      </c>
      <c r="F18" s="1956"/>
      <c r="G18" s="991"/>
      <c r="H18" s="976"/>
      <c r="I18" s="991"/>
      <c r="J18" s="991"/>
      <c r="K18" s="1003">
        <v>0.3</v>
      </c>
      <c r="L18" s="993"/>
      <c r="M18" s="976"/>
      <c r="N18" s="991"/>
      <c r="O18" s="1960" t="s">
        <v>772</v>
      </c>
      <c r="P18" s="1970"/>
      <c r="Q18" s="1961"/>
      <c r="R18" s="2011">
        <f>'3Orçto'!G7-'3Orçto'!D7</f>
        <v>23500</v>
      </c>
      <c r="S18" s="2012"/>
      <c r="T18" s="1006">
        <f>R18/R12</f>
        <v>0.47</v>
      </c>
      <c r="U18" s="976"/>
      <c r="X18" s="981" t="str">
        <f>'3Orçto'!B26</f>
        <v xml:space="preserve">(0) 1+15=16 X </v>
      </c>
      <c r="Y18" s="981">
        <f t="shared" si="0"/>
        <v>16</v>
      </c>
      <c r="Z18" s="982">
        <f ca="1">'3Orçto'!D26</f>
        <v>2020</v>
      </c>
      <c r="AA18" s="983">
        <f ca="1">'3Orçto'!E26</f>
        <v>-0.35360000000000003</v>
      </c>
      <c r="AB18" s="984">
        <f ca="1">'3Orçto'!F26</f>
        <v>32320</v>
      </c>
    </row>
    <row r="19" spans="1:28" ht="13.5" thickBot="1">
      <c r="A19" s="993"/>
      <c r="C19" s="2021"/>
      <c r="D19" s="2021"/>
      <c r="E19" s="1956" t="s">
        <v>224</v>
      </c>
      <c r="F19" s="1956"/>
      <c r="G19" s="991"/>
      <c r="H19" s="976"/>
      <c r="I19" s="991"/>
      <c r="J19" s="991"/>
      <c r="K19" s="1003">
        <v>0.33</v>
      </c>
      <c r="L19" s="993"/>
      <c r="M19" s="976"/>
      <c r="N19" s="991"/>
      <c r="O19" s="1960" t="s">
        <v>773</v>
      </c>
      <c r="P19" s="1970"/>
      <c r="Q19" s="1961"/>
      <c r="R19" s="2011">
        <f>R14-T48</f>
        <v>26500</v>
      </c>
      <c r="S19" s="2012"/>
      <c r="T19" s="1006">
        <f>T12-T18</f>
        <v>0.53</v>
      </c>
      <c r="U19" s="976"/>
      <c r="X19" s="981" t="str">
        <f>'3Orçto'!B27</f>
        <v xml:space="preserve">(0) 1+16=17 X </v>
      </c>
      <c r="Y19" s="981">
        <f t="shared" si="0"/>
        <v>17</v>
      </c>
      <c r="Z19" s="982">
        <f ca="1">'3Orçto'!D27</f>
        <v>1925</v>
      </c>
      <c r="AA19" s="983">
        <f ca="1">'3Orçto'!E27</f>
        <v>-0.34550000000000003</v>
      </c>
      <c r="AB19" s="984">
        <f ca="1">'3Orçto'!F27</f>
        <v>32725</v>
      </c>
    </row>
    <row r="20" spans="1:28" ht="13.5" thickBot="1">
      <c r="A20" s="2021"/>
      <c r="B20" s="2021"/>
      <c r="C20" s="2021"/>
      <c r="D20" s="991"/>
      <c r="E20" s="1956" t="s">
        <v>623</v>
      </c>
      <c r="F20" s="1956"/>
      <c r="G20" s="991"/>
      <c r="H20" s="976"/>
      <c r="I20" s="991"/>
      <c r="J20" s="991"/>
      <c r="K20" s="1007">
        <v>0.36</v>
      </c>
      <c r="L20" s="993"/>
      <c r="M20" s="976"/>
      <c r="N20" s="991"/>
      <c r="P20" s="2035" t="s">
        <v>774</v>
      </c>
      <c r="Q20" s="2056"/>
      <c r="R20" s="2056"/>
      <c r="S20" s="2056"/>
      <c r="T20" s="2036"/>
      <c r="U20" s="976"/>
      <c r="X20" s="981" t="str">
        <f>'3Orçto'!B28</f>
        <v xml:space="preserve">(0) 1+17=18 X </v>
      </c>
      <c r="Y20" s="981">
        <f t="shared" si="0"/>
        <v>18</v>
      </c>
      <c r="Z20" s="982">
        <f ca="1">'3Orçto'!D28</f>
        <v>1839</v>
      </c>
      <c r="AA20" s="983">
        <f ca="1">'3Orçto'!E28</f>
        <v>-0.33796000000000004</v>
      </c>
      <c r="AB20" s="984">
        <f ca="1">'3Orçto'!F28</f>
        <v>33102</v>
      </c>
    </row>
    <row r="21" spans="1:28" ht="13.5" thickBot="1">
      <c r="A21" s="993"/>
      <c r="B21" s="993"/>
      <c r="C21" s="993"/>
      <c r="D21" s="991"/>
      <c r="E21" s="1956" t="s">
        <v>775</v>
      </c>
      <c r="F21" s="1956"/>
      <c r="G21" s="991"/>
      <c r="H21" s="976"/>
      <c r="I21" s="991"/>
      <c r="J21" s="991"/>
      <c r="K21" s="1007">
        <v>0.4</v>
      </c>
      <c r="L21" s="993"/>
      <c r="M21" s="976"/>
      <c r="N21" s="991"/>
      <c r="P21" s="2057" t="s">
        <v>776</v>
      </c>
      <c r="Q21" s="2058"/>
      <c r="R21" s="1008" t="s">
        <v>512</v>
      </c>
      <c r="S21" s="1009" t="s">
        <v>777</v>
      </c>
      <c r="T21" s="1010" t="s">
        <v>778</v>
      </c>
      <c r="U21" s="976"/>
      <c r="X21" s="981" t="str">
        <f>'3Orçto'!B29</f>
        <v xml:space="preserve">(0) 1+18=19X </v>
      </c>
      <c r="Y21" s="981">
        <f t="shared" si="0"/>
        <v>19</v>
      </c>
      <c r="Z21" s="982">
        <f ca="1">'3Orçto'!D29</f>
        <v>1763</v>
      </c>
      <c r="AA21" s="983">
        <f ca="1">'3Orçto'!E29</f>
        <v>-0.33006000000000002</v>
      </c>
      <c r="AB21" s="984">
        <f ca="1">'3Orçto'!F29</f>
        <v>33497</v>
      </c>
    </row>
    <row r="22" spans="1:28" ht="13.5" thickBot="1">
      <c r="A22" s="993"/>
      <c r="B22" s="993"/>
      <c r="C22" s="993"/>
      <c r="D22" s="991"/>
      <c r="E22" s="1956" t="s">
        <v>779</v>
      </c>
      <c r="F22" s="1956"/>
      <c r="G22" s="991"/>
      <c r="H22" s="976"/>
      <c r="I22" s="991"/>
      <c r="J22" s="991"/>
      <c r="K22" s="1007">
        <v>0.42</v>
      </c>
      <c r="L22" s="993"/>
      <c r="M22" s="976"/>
      <c r="N22" s="991"/>
      <c r="P22" s="1974" t="s">
        <v>876</v>
      </c>
      <c r="Q22" s="1976"/>
      <c r="R22" s="1011">
        <f>T15</f>
        <v>0.37735849056603776</v>
      </c>
      <c r="S22" s="1012" t="s">
        <v>780</v>
      </c>
      <c r="T22" s="982">
        <f>R15</f>
        <v>10000</v>
      </c>
      <c r="U22" s="976"/>
      <c r="X22" s="981" t="str">
        <f>'3Orçto'!B30</f>
        <v xml:space="preserve">(0) 1+19=20 X </v>
      </c>
      <c r="Y22" s="981">
        <f t="shared" si="0"/>
        <v>20</v>
      </c>
      <c r="Z22" s="982">
        <f ca="1">'3Orçto'!D30</f>
        <v>1695</v>
      </c>
      <c r="AA22" s="983">
        <f ca="1">'3Orçto'!E30</f>
        <v>-0.32199999999999995</v>
      </c>
      <c r="AB22" s="984">
        <f ca="1">'3Orçto'!F30</f>
        <v>33900</v>
      </c>
    </row>
    <row r="23" spans="1:28" ht="13.5" thickBot="1">
      <c r="C23" s="976"/>
      <c r="D23" s="991"/>
      <c r="E23" s="1956" t="s">
        <v>781</v>
      </c>
      <c r="F23" s="1956"/>
      <c r="G23" s="991"/>
      <c r="H23" s="976"/>
      <c r="I23" s="991"/>
      <c r="J23" s="991"/>
      <c r="K23" s="1007">
        <v>0.45</v>
      </c>
      <c r="L23" s="993"/>
      <c r="M23" s="976"/>
      <c r="N23" s="991"/>
      <c r="P23" s="1960" t="s">
        <v>782</v>
      </c>
      <c r="Q23" s="1961"/>
      <c r="R23" s="1011">
        <f>'3Orçto'!M5/100</f>
        <v>0</v>
      </c>
      <c r="S23" s="1008" t="s">
        <v>783</v>
      </c>
      <c r="T23" s="982">
        <f>R14*R23</f>
        <v>0</v>
      </c>
      <c r="U23" s="976"/>
      <c r="X23" s="981" t="str">
        <f>'3Orçto'!B31</f>
        <v xml:space="preserve">(0) 1+20=21 X </v>
      </c>
      <c r="Y23" s="981">
        <f t="shared" si="0"/>
        <v>21</v>
      </c>
      <c r="Z23" s="982">
        <f ca="1">'3Orçto'!D31</f>
        <v>1634</v>
      </c>
      <c r="AA23" s="983">
        <f ca="1">'3Orçto'!E31</f>
        <v>-0.31372</v>
      </c>
      <c r="AB23" s="984">
        <f ca="1">'3Orçto'!F31</f>
        <v>34314</v>
      </c>
    </row>
    <row r="24" spans="1:28" ht="13.5" thickBot="1">
      <c r="C24" s="976"/>
      <c r="D24" s="991"/>
      <c r="E24" s="1956" t="s">
        <v>784</v>
      </c>
      <c r="F24" s="1956"/>
      <c r="G24" s="991"/>
      <c r="H24" s="976"/>
      <c r="I24" s="991"/>
      <c r="J24" s="991"/>
      <c r="K24" s="1013" t="s">
        <v>785</v>
      </c>
      <c r="L24" s="993"/>
      <c r="M24" s="1014">
        <f>SUM(K29-(K29*'3Orçto'!R7))</f>
        <v>5.3000000000000005E-2</v>
      </c>
      <c r="N24" s="991"/>
      <c r="P24" s="1960" t="str">
        <f>'[6]F Lj'!$B$51</f>
        <v>Transporte Rio Extra</v>
      </c>
      <c r="Q24" s="1961"/>
      <c r="R24" s="1011">
        <f>'0F Lj'!C51</f>
        <v>0</v>
      </c>
      <c r="S24" s="1012" t="s">
        <v>780</v>
      </c>
      <c r="T24" s="982">
        <f>R15*R24</f>
        <v>0</v>
      </c>
      <c r="U24" s="976"/>
      <c r="V24" s="993"/>
      <c r="X24" s="981" t="str">
        <f>'3Orçto'!B32</f>
        <v xml:space="preserve">(0) 1+21=22 X </v>
      </c>
      <c r="Y24" s="981">
        <f t="shared" si="0"/>
        <v>22</v>
      </c>
      <c r="Z24" s="982">
        <f ca="1">'3Orçto'!D32</f>
        <v>1578</v>
      </c>
      <c r="AA24" s="983">
        <f ca="1">'3Orçto'!E32</f>
        <v>-0.30567999999999995</v>
      </c>
      <c r="AB24" s="984">
        <f ca="1">'3Orçto'!F32</f>
        <v>34716</v>
      </c>
    </row>
    <row r="25" spans="1:28" ht="13.5" thickBot="1">
      <c r="C25" s="976"/>
      <c r="D25" s="991"/>
      <c r="E25" s="1956"/>
      <c r="F25" s="1956"/>
      <c r="G25" s="991"/>
      <c r="H25" s="976"/>
      <c r="I25" s="991"/>
      <c r="J25" s="991"/>
      <c r="K25" s="1980" t="s">
        <v>786</v>
      </c>
      <c r="L25" s="1981"/>
      <c r="M25" s="1982"/>
      <c r="N25" s="991"/>
      <c r="P25" s="1960" t="str">
        <f>'0F Lj'!C45</f>
        <v xml:space="preserve">  Mérica</v>
      </c>
      <c r="Q25" s="1961"/>
      <c r="R25" s="1011">
        <f>'0F Lj'!C52</f>
        <v>0.19670000000000001</v>
      </c>
      <c r="S25" s="1012" t="s">
        <v>780</v>
      </c>
      <c r="T25" s="1015">
        <f>R15*R25</f>
        <v>1967.0000000000002</v>
      </c>
      <c r="U25" s="1016" t="s">
        <v>787</v>
      </c>
      <c r="V25" s="1001" t="s">
        <v>261</v>
      </c>
      <c r="X25" s="981" t="str">
        <f>'3Orçto'!B33</f>
        <v xml:space="preserve">(0) 1+22=23 X </v>
      </c>
      <c r="Y25" s="981">
        <f t="shared" si="0"/>
        <v>23</v>
      </c>
      <c r="Z25" s="982">
        <f ca="1">'3Orçto'!D33</f>
        <v>1527</v>
      </c>
      <c r="AA25" s="983">
        <f ca="1">'3Orçto'!E33</f>
        <v>-0.29757999999999996</v>
      </c>
      <c r="AB25" s="984">
        <f ca="1">'3Orçto'!F33</f>
        <v>35121</v>
      </c>
    </row>
    <row r="26" spans="1:28" ht="13.5" thickBot="1">
      <c r="C26" s="976"/>
      <c r="D26" s="991"/>
      <c r="E26" s="1956"/>
      <c r="F26" s="1956"/>
      <c r="G26" s="991"/>
      <c r="H26" s="976"/>
      <c r="I26" s="991"/>
      <c r="K26" s="1980" t="s">
        <v>788</v>
      </c>
      <c r="L26" s="1981"/>
      <c r="M26" s="1982"/>
      <c r="N26" s="991"/>
      <c r="P26" s="1960" t="s">
        <v>789</v>
      </c>
      <c r="Q26" s="1961"/>
      <c r="R26" s="1011">
        <f>'9PG Projetista'!C12</f>
        <v>6.2350000000000003E-2</v>
      </c>
      <c r="S26" s="1012" t="s">
        <v>783</v>
      </c>
      <c r="T26" s="1015">
        <f>R13*R26</f>
        <v>1652.2750000000001</v>
      </c>
      <c r="U26" s="1017">
        <f>T26</f>
        <v>1652.2750000000001</v>
      </c>
      <c r="V26" s="1013" t="s">
        <v>790</v>
      </c>
      <c r="X26" s="981" t="str">
        <f>'3Orçto'!B34</f>
        <v xml:space="preserve">(0) 1+23=24 X </v>
      </c>
      <c r="Y26" s="981">
        <f t="shared" si="0"/>
        <v>24</v>
      </c>
      <c r="Z26" s="982">
        <f ca="1">'3Orçto'!D34</f>
        <v>1481</v>
      </c>
      <c r="AA26" s="983">
        <f ca="1">'3Orçto'!E34</f>
        <v>-0.28912000000000004</v>
      </c>
      <c r="AB26" s="984">
        <f ca="1">'3Orçto'!F34</f>
        <v>35544</v>
      </c>
    </row>
    <row r="27" spans="1:28" ht="13.5" thickBot="1">
      <c r="C27" s="976"/>
      <c r="D27" s="991"/>
      <c r="E27" s="1952"/>
      <c r="F27" s="1954"/>
      <c r="G27" s="991"/>
      <c r="H27" s="976"/>
      <c r="I27" s="991"/>
      <c r="L27" s="993"/>
      <c r="N27" s="991"/>
      <c r="P27" s="1974" t="s">
        <v>791</v>
      </c>
      <c r="Q27" s="1976"/>
      <c r="R27" s="1011">
        <f>(M24/12) + (M24/12/3)</f>
        <v>5.8888888888888888E-3</v>
      </c>
      <c r="S27" s="1012" t="s">
        <v>783</v>
      </c>
      <c r="T27" s="1015">
        <f>SUM(T28/3)+T28</f>
        <v>183.58611111111111</v>
      </c>
      <c r="U27" s="1018">
        <f>T27</f>
        <v>183.58611111111111</v>
      </c>
      <c r="V27" s="1013" t="s">
        <v>792</v>
      </c>
      <c r="X27" s="981" t="str">
        <f>'3Orçto'!B35</f>
        <v xml:space="preserve">(0) 1+24=25 X </v>
      </c>
      <c r="Y27" s="981">
        <f t="shared" si="0"/>
        <v>25</v>
      </c>
      <c r="Z27" s="982">
        <f ca="1">'3Orçto'!D35</f>
        <v>1438</v>
      </c>
      <c r="AA27" s="983">
        <f ca="1">'3Orçto'!E35</f>
        <v>-0.28100000000000003</v>
      </c>
      <c r="AB27" s="984">
        <f ca="1">'3Orçto'!F35</f>
        <v>35950</v>
      </c>
    </row>
    <row r="28" spans="1:28" ht="13.5" thickBot="1">
      <c r="C28" s="976"/>
      <c r="D28" s="991"/>
      <c r="E28" s="1952"/>
      <c r="F28" s="1954"/>
      <c r="G28" s="991"/>
      <c r="H28" s="976"/>
      <c r="I28" s="991"/>
      <c r="K28" s="1980" t="s">
        <v>793</v>
      </c>
      <c r="L28" s="1981"/>
      <c r="M28" s="1982"/>
      <c r="N28" s="991"/>
      <c r="O28" s="1019"/>
      <c r="P28" s="1960" t="s">
        <v>794</v>
      </c>
      <c r="Q28" s="1961"/>
      <c r="R28" s="1011">
        <f>M24/12</f>
        <v>4.4166666666666668E-3</v>
      </c>
      <c r="S28" s="1012" t="s">
        <v>783</v>
      </c>
      <c r="T28" s="1015">
        <f>T26/12</f>
        <v>137.68958333333333</v>
      </c>
      <c r="U28" s="1018">
        <f>T28</f>
        <v>137.68958333333333</v>
      </c>
      <c r="V28" s="1013" t="s">
        <v>795</v>
      </c>
      <c r="X28" s="981" t="str">
        <f>'3Orçto'!B36</f>
        <v xml:space="preserve">(0) 1+25=26 X </v>
      </c>
      <c r="Y28" s="981">
        <f t="shared" si="0"/>
        <v>26</v>
      </c>
      <c r="Z28" s="982">
        <f ca="1">'3Orçto'!D36</f>
        <v>1399</v>
      </c>
      <c r="AA28" s="983">
        <f ca="1">'3Orçto'!E36</f>
        <v>-0.27251999999999998</v>
      </c>
      <c r="AB28" s="984">
        <f ca="1">'3Orçto'!F36</f>
        <v>36374</v>
      </c>
    </row>
    <row r="29" spans="1:28" ht="13.5" thickBot="1">
      <c r="C29" s="1994" t="s">
        <v>796</v>
      </c>
      <c r="D29" s="1995"/>
      <c r="G29" s="991"/>
      <c r="H29" s="1994" t="s">
        <v>797</v>
      </c>
      <c r="I29" s="1995"/>
      <c r="K29" s="2043">
        <v>0.1</v>
      </c>
      <c r="L29" s="2044"/>
      <c r="M29" s="2045"/>
      <c r="N29" s="991"/>
      <c r="P29" s="1960" t="s">
        <v>798</v>
      </c>
      <c r="Q29" s="1961"/>
      <c r="R29" s="1011">
        <v>0.08</v>
      </c>
      <c r="S29" s="1012" t="s">
        <v>783</v>
      </c>
      <c r="T29" s="1015">
        <f>SUM(T26:T28)*8%</f>
        <v>157.88405555555556</v>
      </c>
      <c r="U29" s="1020">
        <f>T29</f>
        <v>157.88405555555556</v>
      </c>
      <c r="V29" s="1001" t="s">
        <v>799</v>
      </c>
      <c r="X29" s="981" t="str">
        <f>'3Orçto'!B37</f>
        <v xml:space="preserve">(0) 1+26=27 X </v>
      </c>
      <c r="Y29" s="981">
        <f t="shared" si="0"/>
        <v>27</v>
      </c>
      <c r="Z29" s="982">
        <f ca="1">'3Orçto'!D37</f>
        <v>1362</v>
      </c>
      <c r="AA29" s="983">
        <f ca="1">'3Orçto'!E37</f>
        <v>-0.26451999999999998</v>
      </c>
      <c r="AB29" s="984">
        <f ca="1">'3Orçto'!F37</f>
        <v>36774</v>
      </c>
    </row>
    <row r="30" spans="1:28" ht="13.5" thickBot="1">
      <c r="C30" s="1998" t="s">
        <v>800</v>
      </c>
      <c r="D30" s="1997"/>
      <c r="E30" s="2020" t="s">
        <v>801</v>
      </c>
      <c r="F30" s="1995"/>
      <c r="G30" s="991"/>
      <c r="H30" s="2054" t="s">
        <v>802</v>
      </c>
      <c r="I30" s="2055"/>
      <c r="N30" s="991"/>
      <c r="P30" s="1974" t="s">
        <v>803</v>
      </c>
      <c r="Q30" s="1976"/>
      <c r="R30" s="1011">
        <f>'11PG Montador'!C14</f>
        <v>0</v>
      </c>
      <c r="S30" s="1012" t="s">
        <v>783</v>
      </c>
      <c r="T30" s="1015">
        <f>'8Resumo Venda'!C51*'14 Pers.'!R30</f>
        <v>0</v>
      </c>
      <c r="U30" s="1021">
        <f>SUM(U26:U29)</f>
        <v>2131.4347500000003</v>
      </c>
      <c r="V30" s="1001" t="s">
        <v>261</v>
      </c>
      <c r="X30" s="981" t="str">
        <f>'3Orçto'!B38</f>
        <v xml:space="preserve">(0) 1+27=28 X </v>
      </c>
      <c r="Y30" s="981">
        <f t="shared" si="0"/>
        <v>28</v>
      </c>
      <c r="Z30" s="982">
        <f ca="1">'3Orçto'!D38</f>
        <v>1329</v>
      </c>
      <c r="AA30" s="983">
        <f ca="1">'3Orçto'!E38</f>
        <v>-0.25575999999999999</v>
      </c>
      <c r="AB30" s="984">
        <f ca="1">'3Orçto'!F38</f>
        <v>37212</v>
      </c>
    </row>
    <row r="31" spans="1:28" ht="13.5" thickBot="1">
      <c r="C31" s="1992">
        <v>2.1899999999999999E-2</v>
      </c>
      <c r="D31" s="1993"/>
      <c r="E31" s="1996" t="s">
        <v>804</v>
      </c>
      <c r="F31" s="1997"/>
      <c r="H31" s="2026">
        <f ca="1">IF(H1&lt;H2,E32-C31,I34)</f>
        <v>0</v>
      </c>
      <c r="I31" s="2027"/>
      <c r="N31" s="991"/>
      <c r="P31" s="1974" t="s">
        <v>805</v>
      </c>
      <c r="Q31" s="1976"/>
      <c r="R31" s="1011">
        <f>'11PG Montador'!C15</f>
        <v>0.1</v>
      </c>
      <c r="S31" s="1012" t="s">
        <v>783</v>
      </c>
      <c r="T31" s="1015">
        <f>R13*R31</f>
        <v>2650</v>
      </c>
      <c r="U31" s="1022">
        <f>U30/R13</f>
        <v>8.0431500000000017E-2</v>
      </c>
      <c r="V31" s="1023" t="s">
        <v>806</v>
      </c>
      <c r="X31" s="981" t="str">
        <f>'3Orçto'!B39</f>
        <v xml:space="preserve">(0) 1+28=29 X </v>
      </c>
      <c r="Y31" s="981">
        <f t="shared" si="0"/>
        <v>29</v>
      </c>
      <c r="Z31" s="982">
        <f ca="1">'3Orçto'!D39</f>
        <v>1298</v>
      </c>
      <c r="AA31" s="983">
        <f ca="1">'3Orçto'!E39</f>
        <v>-0.24716000000000005</v>
      </c>
      <c r="AB31" s="984">
        <f ca="1">'3Orçto'!F39</f>
        <v>37642</v>
      </c>
    </row>
    <row r="32" spans="1:28" ht="13.5" thickBot="1">
      <c r="C32" s="2033" t="s">
        <v>807</v>
      </c>
      <c r="D32" s="2034"/>
      <c r="E32" s="2028">
        <f>'3Orçto'!Q2/100</f>
        <v>2.1899999999999999E-2</v>
      </c>
      <c r="F32" s="2029"/>
      <c r="H32" s="2024" t="s">
        <v>808</v>
      </c>
      <c r="I32" s="2025"/>
      <c r="N32" s="991"/>
      <c r="P32" s="1960" t="str">
        <f>'0F Lj'!B55</f>
        <v>Outros</v>
      </c>
      <c r="Q32" s="1961"/>
      <c r="R32" s="1011">
        <f>'0F Lj'!C55</f>
        <v>0</v>
      </c>
      <c r="S32" s="1012" t="s">
        <v>780</v>
      </c>
      <c r="T32" s="982">
        <f>T22*R32</f>
        <v>0</v>
      </c>
      <c r="X32" s="981" t="str">
        <f>'3Orçto'!B40</f>
        <v xml:space="preserve">(0) 1+29=30 X </v>
      </c>
      <c r="Y32" s="981">
        <f t="shared" si="0"/>
        <v>30</v>
      </c>
      <c r="Z32" s="982">
        <f ca="1">'3Orçto'!D40</f>
        <v>1269</v>
      </c>
      <c r="AA32" s="983">
        <f ca="1">'3Orçto'!E40</f>
        <v>-0.23860000000000003</v>
      </c>
      <c r="AB32" s="984">
        <f ca="1">'3Orçto'!F40</f>
        <v>38070</v>
      </c>
    </row>
    <row r="33" spans="3:28" ht="13.5" thickBot="1">
      <c r="C33" s="2030">
        <v>45108</v>
      </c>
      <c r="D33" s="1982"/>
      <c r="E33" s="2031" t="s">
        <v>807</v>
      </c>
      <c r="F33" s="2032"/>
      <c r="I33" s="1024"/>
      <c r="N33" s="991"/>
      <c r="P33" s="1960" t="str">
        <f>'0F Lj'!B56</f>
        <v>Gestão valor de Compra</v>
      </c>
      <c r="Q33" s="1961"/>
      <c r="R33" s="1011">
        <f>'0F Lj'!C56</f>
        <v>0</v>
      </c>
      <c r="S33" s="1012" t="s">
        <v>780</v>
      </c>
      <c r="T33" s="982">
        <f>T22*R33</f>
        <v>0</v>
      </c>
      <c r="V33" s="993"/>
      <c r="X33" s="981" t="str">
        <f>'3Orçto'!B41</f>
        <v xml:space="preserve">(0) 1+30=31 X </v>
      </c>
      <c r="Y33" s="981">
        <f t="shared" si="0"/>
        <v>31</v>
      </c>
      <c r="Z33" s="982">
        <f ca="1">'3Orçto'!D41</f>
        <v>1242</v>
      </c>
      <c r="AA33" s="983">
        <f ca="1">'3Orçto'!E41</f>
        <v>-0.22996000000000005</v>
      </c>
      <c r="AB33" s="984">
        <f ca="1">'3Orçto'!F41</f>
        <v>38502</v>
      </c>
    </row>
    <row r="34" spans="3:28" ht="13.5" thickBot="1">
      <c r="E34" s="2030">
        <f ca="1">NOW()</f>
        <v>46153.67125486111</v>
      </c>
      <c r="F34" s="2027"/>
      <c r="H34" s="1025" t="s">
        <v>903</v>
      </c>
      <c r="I34" s="1026">
        <v>3</v>
      </c>
      <c r="N34" s="991"/>
      <c r="P34" s="1960" t="str">
        <f>'0F Lj'!G51</f>
        <v>Gerente</v>
      </c>
      <c r="Q34" s="1961"/>
      <c r="R34" s="1011">
        <f>'0F Lj'!E51</f>
        <v>0</v>
      </c>
      <c r="S34" s="1012" t="s">
        <v>783</v>
      </c>
      <c r="T34" s="982">
        <f>$R$13*R34</f>
        <v>0</v>
      </c>
      <c r="V34" s="993"/>
      <c r="X34" s="981" t="str">
        <f>'3Orçto'!B42</f>
        <v xml:space="preserve">(0) 1+31=32 X </v>
      </c>
      <c r="Y34" s="981">
        <f t="shared" si="0"/>
        <v>32</v>
      </c>
      <c r="Z34" s="982">
        <f ca="1">'3Orçto'!D42</f>
        <v>1216</v>
      </c>
      <c r="AA34" s="983">
        <f ca="1">'3Orçto'!E42</f>
        <v>-0.22175999999999996</v>
      </c>
      <c r="AB34" s="984">
        <f ca="1">'3Orçto'!F42</f>
        <v>38912</v>
      </c>
    </row>
    <row r="35" spans="3:28" ht="13.5" thickBot="1">
      <c r="E35" s="2021"/>
      <c r="F35" s="2021"/>
      <c r="N35" s="991"/>
      <c r="P35" s="1960" t="str">
        <f>'0F Lj'!G52</f>
        <v>Supervisor</v>
      </c>
      <c r="Q35" s="1961"/>
      <c r="R35" s="1011">
        <f>'0F Lj'!E52</f>
        <v>0</v>
      </c>
      <c r="S35" s="1012" t="s">
        <v>783</v>
      </c>
      <c r="T35" s="982">
        <f t="shared" ref="T35:T40" si="1">$R$13*R35</f>
        <v>0</v>
      </c>
      <c r="V35" s="993"/>
      <c r="X35" s="981" t="str">
        <f>'3Orçto'!B43</f>
        <v xml:space="preserve">(0) 1+32=33 X </v>
      </c>
      <c r="Y35" s="981">
        <f t="shared" si="0"/>
        <v>33</v>
      </c>
      <c r="Z35" s="982">
        <f ca="1">'3Orçto'!D43</f>
        <v>1193</v>
      </c>
      <c r="AA35" s="983">
        <f ca="1">'3Orçto'!E43</f>
        <v>-0.21262000000000003</v>
      </c>
      <c r="AB35" s="984">
        <f ca="1">'3Orçto'!F43</f>
        <v>39369</v>
      </c>
    </row>
    <row r="36" spans="3:28" ht="13.5" thickBot="1">
      <c r="E36" s="2021"/>
      <c r="F36" s="2021"/>
      <c r="N36" s="991"/>
      <c r="P36" s="1960" t="str">
        <f>'0F Lj'!G53</f>
        <v>Executivo "Conferente" de montagem</v>
      </c>
      <c r="Q36" s="1961"/>
      <c r="R36" s="1011">
        <f>'0F Lj'!E53</f>
        <v>0</v>
      </c>
      <c r="S36" s="1012" t="s">
        <v>783</v>
      </c>
      <c r="T36" s="982">
        <f t="shared" si="1"/>
        <v>0</v>
      </c>
      <c r="V36" s="993"/>
      <c r="X36" s="981" t="str">
        <f>'3Orçto'!B44</f>
        <v xml:space="preserve">(0) 1+33=34 X </v>
      </c>
      <c r="Y36" s="981">
        <f t="shared" si="0"/>
        <v>34</v>
      </c>
      <c r="Z36" s="982">
        <f ca="1">'3Orçto'!D44</f>
        <v>1170</v>
      </c>
      <c r="AA36" s="983">
        <f ca="1">'3Orçto'!E44</f>
        <v>-0.20440000000000003</v>
      </c>
      <c r="AB36" s="984">
        <f ca="1">'3Orçto'!F44</f>
        <v>39780</v>
      </c>
    </row>
    <row r="37" spans="3:28" ht="13.5" thickBot="1">
      <c r="E37" s="993"/>
      <c r="N37" s="991"/>
      <c r="P37" s="1960" t="str">
        <f>'0F Lj'!G54</f>
        <v xml:space="preserve">Diversos </v>
      </c>
      <c r="Q37" s="1961"/>
      <c r="R37" s="1011">
        <f>'0F Lj'!E54</f>
        <v>0.02</v>
      </c>
      <c r="S37" s="1012" t="s">
        <v>783</v>
      </c>
      <c r="T37" s="982">
        <f t="shared" si="1"/>
        <v>530</v>
      </c>
      <c r="V37" s="993"/>
      <c r="X37" s="1027"/>
      <c r="Y37" s="1027"/>
      <c r="Z37" s="1028"/>
      <c r="AA37" s="1029"/>
      <c r="AB37" s="1030"/>
    </row>
    <row r="38" spans="3:28" ht="13.5" thickBot="1">
      <c r="E38" s="993"/>
      <c r="N38" s="991"/>
      <c r="P38" s="1960" t="str">
        <f>'0F Lj'!G55</f>
        <v>Prêmio Fabrica</v>
      </c>
      <c r="Q38" s="1961"/>
      <c r="R38" s="1011">
        <f>'0F Lj'!E55</f>
        <v>0.03</v>
      </c>
      <c r="S38" s="1012" t="s">
        <v>783</v>
      </c>
      <c r="T38" s="982">
        <f t="shared" si="1"/>
        <v>795</v>
      </c>
      <c r="V38" s="993"/>
      <c r="X38" s="1027"/>
      <c r="Y38" s="1027"/>
      <c r="Z38" s="1028"/>
      <c r="AA38" s="1029"/>
      <c r="AB38" s="1030"/>
    </row>
    <row r="39" spans="3:28" ht="13.5" thickBot="1">
      <c r="C39" s="2035" t="s">
        <v>811</v>
      </c>
      <c r="D39" s="2036"/>
      <c r="E39" s="1955"/>
      <c r="F39" s="1955"/>
      <c r="G39" s="1031"/>
      <c r="H39" s="1032"/>
      <c r="I39" s="992"/>
      <c r="J39" s="992"/>
      <c r="P39" s="1960" t="str">
        <f>'0F Lj'!G56</f>
        <v>Impostos N. Fiscal</v>
      </c>
      <c r="Q39" s="1961"/>
      <c r="R39" s="1011">
        <f>'0F Lj'!E56</f>
        <v>0</v>
      </c>
      <c r="S39" s="1012" t="s">
        <v>783</v>
      </c>
      <c r="T39" s="982">
        <f t="shared" si="1"/>
        <v>0</v>
      </c>
      <c r="V39" s="993"/>
      <c r="X39" s="981" t="str">
        <f>'3Orçto'!B45</f>
        <v xml:space="preserve">(0) 1+34=35 X </v>
      </c>
      <c r="Y39" s="981">
        <f>Y36+1</f>
        <v>35</v>
      </c>
      <c r="Z39" s="982">
        <f ca="1">'3Orçto'!D45</f>
        <v>1150</v>
      </c>
      <c r="AA39" s="983">
        <f ca="1">'3Orçto'!E45</f>
        <v>-0.19499999999999995</v>
      </c>
      <c r="AB39" s="984">
        <f ca="1">'3Orçto'!F45</f>
        <v>40250</v>
      </c>
    </row>
    <row r="40" spans="3:28" ht="16" thickBot="1">
      <c r="C40" s="2004" t="s">
        <v>812</v>
      </c>
      <c r="D40" s="2005"/>
      <c r="E40" s="2005"/>
      <c r="F40" s="2005"/>
      <c r="G40" s="2005"/>
      <c r="H40" s="2005"/>
      <c r="I40" s="2005"/>
      <c r="J40" s="2006"/>
      <c r="N40" s="991"/>
      <c r="P40" s="1960" t="str">
        <f>'0F Lj'!G57</f>
        <v>Franquia</v>
      </c>
      <c r="Q40" s="1961"/>
      <c r="R40" s="1011">
        <f>'0F Lj'!E57</f>
        <v>0</v>
      </c>
      <c r="S40" s="1012" t="s">
        <v>783</v>
      </c>
      <c r="T40" s="982">
        <f t="shared" si="1"/>
        <v>0</v>
      </c>
      <c r="V40" s="993"/>
      <c r="X40" s="981" t="str">
        <f>'3Orçto'!B46</f>
        <v xml:space="preserve">(0) 1+35=36 X </v>
      </c>
      <c r="Y40" s="981">
        <f t="shared" si="0"/>
        <v>36</v>
      </c>
      <c r="Z40" s="982">
        <f ca="1">'3Orçto'!D46</f>
        <v>1130</v>
      </c>
      <c r="AA40" s="983">
        <f ca="1">'3Orçto'!E46</f>
        <v>-0.18640000000000001</v>
      </c>
      <c r="AB40" s="984">
        <f ca="1">'3Orçto'!F46</f>
        <v>40680</v>
      </c>
    </row>
    <row r="41" spans="3:28" ht="13.5" thickBot="1">
      <c r="E41" s="2021"/>
      <c r="F41" s="2021"/>
      <c r="N41" s="2048" t="s">
        <v>813</v>
      </c>
      <c r="O41" s="2049"/>
      <c r="P41" s="2023" t="s">
        <v>814</v>
      </c>
      <c r="Q41" s="1961"/>
      <c r="R41" s="1033">
        <f>R22</f>
        <v>0.37735849056603776</v>
      </c>
      <c r="S41" s="1005" t="str">
        <f>S22</f>
        <v>fabrica</v>
      </c>
      <c r="T41" s="982">
        <f>T22</f>
        <v>10000</v>
      </c>
      <c r="U41" s="1034">
        <v>10000</v>
      </c>
      <c r="V41" s="999" t="s">
        <v>815</v>
      </c>
      <c r="X41" s="981" t="str">
        <f>'3Orçto'!H11</f>
        <v xml:space="preserve">(30) 0+01=01 X </v>
      </c>
      <c r="Y41" s="981">
        <v>1</v>
      </c>
      <c r="Z41" s="1035">
        <f ca="1">'3Orçto'!I11</f>
        <v>27262</v>
      </c>
      <c r="AA41" s="1036">
        <f ca="1">'3Orçto'!K11</f>
        <v>-0.45476000000000005</v>
      </c>
      <c r="AB41" s="984">
        <f ca="1">'3Orçto'!L11</f>
        <v>27262</v>
      </c>
    </row>
    <row r="42" spans="3:28" ht="13.5" thickBot="1">
      <c r="C42" s="1977" t="s">
        <v>816</v>
      </c>
      <c r="D42" s="1978"/>
      <c r="E42" s="1978"/>
      <c r="F42" s="1979"/>
      <c r="N42" s="2050"/>
      <c r="O42" s="2051"/>
      <c r="P42" s="2023" t="s">
        <v>817</v>
      </c>
      <c r="Q42" s="1961"/>
      <c r="R42" s="1033">
        <f>T42/T44</f>
        <v>0.30467924528301887</v>
      </c>
      <c r="S42" s="1005" t="s">
        <v>477</v>
      </c>
      <c r="T42" s="982">
        <f>ROUNDUP(SUM(T23:T40),0)+T48</f>
        <v>8074</v>
      </c>
      <c r="U42" s="1037">
        <v>6363</v>
      </c>
      <c r="V42" s="1012">
        <f>T42-U42</f>
        <v>1711</v>
      </c>
      <c r="X42" s="981" t="str">
        <f>'3Orçto'!H12</f>
        <v xml:space="preserve">(30) 0+02=02 X </v>
      </c>
      <c r="Y42" s="981">
        <f t="shared" ref="Y42:Y76" si="2">Y41+1</f>
        <v>2</v>
      </c>
      <c r="Z42" s="1035">
        <f ca="1">'3Orçto'!I12</f>
        <v>13768</v>
      </c>
      <c r="AA42" s="1036">
        <f ca="1">'3Orçto'!K12</f>
        <v>-0.44928000000000001</v>
      </c>
      <c r="AB42" s="984">
        <f ca="1">'3Orçto'!L12</f>
        <v>27536</v>
      </c>
    </row>
    <row r="43" spans="3:28" ht="13.5" thickBot="1">
      <c r="E43" s="2021"/>
      <c r="F43" s="2021"/>
      <c r="N43" s="2050"/>
      <c r="O43" s="2051"/>
      <c r="P43" s="2023" t="s">
        <v>818</v>
      </c>
      <c r="Q43" s="1961"/>
      <c r="R43" s="1033">
        <f>R41+R42</f>
        <v>0.68203773584905658</v>
      </c>
      <c r="S43" s="1005" t="s">
        <v>477</v>
      </c>
      <c r="T43" s="982">
        <f>T41+T42</f>
        <v>18074</v>
      </c>
      <c r="U43" s="1038">
        <v>16363</v>
      </c>
      <c r="V43" s="999" t="s">
        <v>815</v>
      </c>
      <c r="X43" s="981" t="str">
        <f>'3Orçto'!H13</f>
        <v xml:space="preserve">(30) 0+03=03 X </v>
      </c>
      <c r="Y43" s="981">
        <f t="shared" si="2"/>
        <v>3</v>
      </c>
      <c r="Z43" s="1035">
        <f ca="1">'3Orçto'!I13</f>
        <v>9295</v>
      </c>
      <c r="AA43" s="1036">
        <f ca="1">'3Orçto'!K13</f>
        <v>-0.44230000000000003</v>
      </c>
      <c r="AB43" s="984">
        <f ca="1">'3Orçto'!L13</f>
        <v>27885</v>
      </c>
    </row>
    <row r="44" spans="3:28" ht="13.5" thickBot="1">
      <c r="E44" s="2021"/>
      <c r="F44" s="2021"/>
      <c r="N44" s="2050"/>
      <c r="O44" s="2051"/>
      <c r="P44" s="2023" t="s">
        <v>819</v>
      </c>
      <c r="Q44" s="1961"/>
      <c r="R44" s="1033">
        <f>T44/T47</f>
        <v>0.53</v>
      </c>
      <c r="S44" s="1005" t="s">
        <v>477</v>
      </c>
      <c r="T44" s="982">
        <f>'3Orçto'!D7</f>
        <v>26500</v>
      </c>
      <c r="U44" s="1038">
        <v>25000</v>
      </c>
      <c r="V44" s="999" t="s">
        <v>815</v>
      </c>
      <c r="X44" s="981" t="str">
        <f>'3Orçto'!H14</f>
        <v xml:space="preserve">(30) 0+04=04 X </v>
      </c>
      <c r="Y44" s="981">
        <f t="shared" si="2"/>
        <v>4</v>
      </c>
      <c r="Z44" s="1035">
        <f ca="1">'3Orçto'!I14</f>
        <v>7060</v>
      </c>
      <c r="AA44" s="1036">
        <f ca="1">'3Orçto'!K14</f>
        <v>-0.43520000000000003</v>
      </c>
      <c r="AB44" s="984">
        <f ca="1">'3Orçto'!L14</f>
        <v>28240</v>
      </c>
    </row>
    <row r="45" spans="3:28" ht="13.5" thickBot="1">
      <c r="E45" s="2021"/>
      <c r="F45" s="2021"/>
      <c r="N45" s="2050"/>
      <c r="O45" s="2051"/>
      <c r="P45" s="2023" t="s">
        <v>820</v>
      </c>
      <c r="Q45" s="1961"/>
      <c r="R45" s="1033">
        <f>R44-R43</f>
        <v>-0.15203773584905655</v>
      </c>
      <c r="S45" s="1005" t="s">
        <v>477</v>
      </c>
      <c r="T45" s="982">
        <f>T44-T43</f>
        <v>8426</v>
      </c>
      <c r="U45" s="1038">
        <v>8637</v>
      </c>
      <c r="V45" s="1039"/>
      <c r="X45" s="981" t="str">
        <f>'3Orçto'!H15</f>
        <v xml:space="preserve">(30) 0+05=05 X </v>
      </c>
      <c r="Y45" s="981">
        <f t="shared" si="2"/>
        <v>5</v>
      </c>
      <c r="Z45" s="1035">
        <f ca="1">'3Orçto'!I15</f>
        <v>5719</v>
      </c>
      <c r="AA45" s="1036">
        <f ca="1">'3Orçto'!K15</f>
        <v>-0.42810000000000004</v>
      </c>
      <c r="AB45" s="984">
        <f ca="1">'3Orçto'!L15</f>
        <v>28595</v>
      </c>
    </row>
    <row r="46" spans="3:28" ht="13.5" thickBot="1">
      <c r="E46" s="2021"/>
      <c r="F46" s="2021"/>
      <c r="N46" s="2052"/>
      <c r="O46" s="2053"/>
      <c r="P46" s="2023" t="s">
        <v>821</v>
      </c>
      <c r="Q46" s="1961"/>
      <c r="R46" s="1033">
        <f ca="1">100%-(T44/R10)</f>
        <v>0.12840415734771737</v>
      </c>
      <c r="S46" s="1005" t="s">
        <v>477</v>
      </c>
      <c r="T46" s="982">
        <f ca="1">R10-T44</f>
        <v>3904</v>
      </c>
      <c r="U46" s="1040">
        <v>4516</v>
      </c>
      <c r="V46" s="999"/>
      <c r="X46" s="981" t="str">
        <f>'3Orçto'!H16</f>
        <v xml:space="preserve">(30) 0+06=06 X </v>
      </c>
      <c r="Y46" s="981">
        <f t="shared" si="2"/>
        <v>6</v>
      </c>
      <c r="Z46" s="1035">
        <f ca="1">'3Orçto'!I16</f>
        <v>4826</v>
      </c>
      <c r="AA46" s="1036">
        <f ca="1">'3Orçto'!K16</f>
        <v>-0.42088000000000003</v>
      </c>
      <c r="AB46" s="984">
        <f ca="1">'3Orçto'!L16</f>
        <v>28956</v>
      </c>
    </row>
    <row r="47" spans="3:28" ht="13.5" thickBot="1">
      <c r="C47" s="2021"/>
      <c r="D47" s="2021"/>
      <c r="E47" s="2021"/>
      <c r="F47" s="2021"/>
      <c r="P47" s="2023" t="s">
        <v>231</v>
      </c>
      <c r="Q47" s="1961"/>
      <c r="R47" s="1033">
        <v>1</v>
      </c>
      <c r="S47" s="1005" t="s">
        <v>477</v>
      </c>
      <c r="T47" s="982">
        <f>'3Orçto'!G5</f>
        <v>50000</v>
      </c>
      <c r="U47" s="982"/>
      <c r="V47" s="999" t="s">
        <v>815</v>
      </c>
      <c r="X47" s="981" t="str">
        <f>'3Orçto'!H17</f>
        <v xml:space="preserve">(30) 0+07=07 X </v>
      </c>
      <c r="Y47" s="981">
        <f t="shared" si="2"/>
        <v>7</v>
      </c>
      <c r="Z47" s="1035">
        <f ca="1">'3Orçto'!I17</f>
        <v>4189</v>
      </c>
      <c r="AA47" s="1036">
        <f ca="1">'3Orçto'!K17</f>
        <v>-0.41354000000000002</v>
      </c>
      <c r="AB47" s="984">
        <f ca="1">'3Orçto'!L17</f>
        <v>29323</v>
      </c>
    </row>
    <row r="48" spans="3:28" ht="13.5" thickBot="1">
      <c r="E48" s="2021"/>
      <c r="F48" s="2021"/>
      <c r="P48" s="2023" t="s">
        <v>236</v>
      </c>
      <c r="Q48" s="1961"/>
      <c r="R48" s="1033">
        <f>T48/T47</f>
        <v>0</v>
      </c>
      <c r="S48" s="1005" t="s">
        <v>477</v>
      </c>
      <c r="T48" s="982">
        <f>'3Orçto'!G6</f>
        <v>0</v>
      </c>
      <c r="U48" s="982">
        <v>0</v>
      </c>
      <c r="V48" s="999" t="s">
        <v>815</v>
      </c>
      <c r="X48" s="981" t="str">
        <f>'3Orçto'!H18</f>
        <v xml:space="preserve">(30) 0+08=08 X </v>
      </c>
      <c r="Y48" s="981">
        <f t="shared" si="2"/>
        <v>8</v>
      </c>
      <c r="Z48" s="1035">
        <f ca="1">'3Orçto'!I18</f>
        <v>3710</v>
      </c>
      <c r="AA48" s="1036">
        <f ca="1">'3Orçto'!K18</f>
        <v>-0.40639999999999998</v>
      </c>
      <c r="AB48" s="984">
        <f ca="1">'3Orçto'!L18</f>
        <v>29680</v>
      </c>
    </row>
    <row r="49" spans="3:28" ht="13.5" thickBot="1">
      <c r="E49" s="2021"/>
      <c r="F49" s="2021"/>
      <c r="P49" s="1960" t="s">
        <v>822</v>
      </c>
      <c r="Q49" s="1961"/>
      <c r="R49" s="1033">
        <f>R47+R48</f>
        <v>1</v>
      </c>
      <c r="S49" s="1005" t="s">
        <v>477</v>
      </c>
      <c r="T49" s="982">
        <f>T47+T48</f>
        <v>50000</v>
      </c>
      <c r="U49" s="982">
        <v>50000</v>
      </c>
      <c r="V49" s="999" t="s">
        <v>815</v>
      </c>
      <c r="X49" s="981" t="str">
        <f>'3Orçto'!H19</f>
        <v xml:space="preserve">(30) 0+09=09 X </v>
      </c>
      <c r="Y49" s="981">
        <f t="shared" si="2"/>
        <v>9</v>
      </c>
      <c r="Z49" s="1035">
        <f ca="1">'3Orçto'!I19</f>
        <v>3339</v>
      </c>
      <c r="AA49" s="1036">
        <f ca="1">'3Orçto'!K19</f>
        <v>-0.39898</v>
      </c>
      <c r="AB49" s="984">
        <f ca="1">'3Orçto'!L19</f>
        <v>30051</v>
      </c>
    </row>
    <row r="50" spans="3:28" ht="13.5" thickBot="1">
      <c r="P50" s="992"/>
      <c r="Q50" s="992"/>
      <c r="R50" s="1041"/>
      <c r="S50" s="1042"/>
      <c r="T50" s="1043"/>
      <c r="X50" s="981" t="str">
        <f>'3Orçto'!H20</f>
        <v xml:space="preserve">(30) 0+10=10 X </v>
      </c>
      <c r="Y50" s="981">
        <f t="shared" si="2"/>
        <v>10</v>
      </c>
      <c r="Z50" s="1035">
        <f ca="1">'3Orçto'!I20</f>
        <v>3042</v>
      </c>
      <c r="AA50" s="1036">
        <f ca="1">'3Orçto'!K20</f>
        <v>-0.39159999999999995</v>
      </c>
      <c r="AB50" s="984">
        <f ca="1">'3Orçto'!L20</f>
        <v>30420</v>
      </c>
    </row>
    <row r="51" spans="3:28" ht="13.5" thickBot="1">
      <c r="I51" s="1980" t="s">
        <v>823</v>
      </c>
      <c r="J51" s="1981"/>
      <c r="K51" s="1981"/>
      <c r="L51" s="1981"/>
      <c r="M51" s="1981"/>
      <c r="N51" s="1981"/>
      <c r="O51" s="1982"/>
      <c r="P51" s="992"/>
      <c r="Q51" s="992"/>
      <c r="R51" s="1041"/>
      <c r="S51" s="1042"/>
      <c r="T51" s="1043"/>
      <c r="X51" s="981" t="str">
        <f>'3Orçto'!H21</f>
        <v xml:space="preserve">(30) 0+11=11 X </v>
      </c>
      <c r="Y51" s="981">
        <f t="shared" si="2"/>
        <v>11</v>
      </c>
      <c r="Z51" s="1035">
        <f ca="1">'3Orçto'!I21</f>
        <v>2800</v>
      </c>
      <c r="AA51" s="1036">
        <f ca="1">'3Orçto'!K21</f>
        <v>-0.38400000000000001</v>
      </c>
      <c r="AB51" s="984">
        <f ca="1">'3Orçto'!L21</f>
        <v>30800</v>
      </c>
    </row>
    <row r="52" spans="3:28" ht="13.5" thickBot="1">
      <c r="P52" s="992"/>
      <c r="Q52" s="992"/>
      <c r="R52" s="1041"/>
      <c r="S52" s="1042"/>
      <c r="T52" s="1043"/>
      <c r="X52" s="981" t="str">
        <f>'3Orçto'!H22</f>
        <v xml:space="preserve">(30) 0+12=12 X </v>
      </c>
      <c r="Y52" s="981">
        <f t="shared" si="2"/>
        <v>12</v>
      </c>
      <c r="Z52" s="1035">
        <f ca="1">'3Orçto'!I22</f>
        <v>2598</v>
      </c>
      <c r="AA52" s="1036">
        <f ca="1">'3Orçto'!K22</f>
        <v>-0.37648000000000004</v>
      </c>
      <c r="AB52" s="984">
        <f ca="1">'3Orçto'!L22</f>
        <v>31176</v>
      </c>
    </row>
    <row r="53" spans="3:28" ht="13.5" thickBot="1">
      <c r="P53" s="2021"/>
      <c r="Q53" s="2021"/>
      <c r="S53" s="991"/>
      <c r="T53" s="991"/>
      <c r="X53" s="981" t="str">
        <f>'3Orçto'!H23</f>
        <v xml:space="preserve">(30) 0+13=13 X </v>
      </c>
      <c r="Y53" s="981">
        <f t="shared" si="2"/>
        <v>13</v>
      </c>
      <c r="Z53" s="1035">
        <f ca="1">'3Orçto'!I23</f>
        <v>2427</v>
      </c>
      <c r="AA53" s="1036">
        <f ca="1">'3Orçto'!K23</f>
        <v>-0.36897999999999997</v>
      </c>
      <c r="AB53" s="984">
        <f ca="1">'3Orçto'!L23</f>
        <v>31551</v>
      </c>
    </row>
    <row r="54" spans="3:28" ht="15.75" customHeight="1" thickBot="1">
      <c r="I54" s="2046" t="s">
        <v>824</v>
      </c>
      <c r="J54" s="2047"/>
      <c r="K54" s="2047"/>
      <c r="L54" s="2047"/>
      <c r="M54" s="2002"/>
      <c r="N54" s="2002"/>
      <c r="O54" s="2003"/>
      <c r="P54" s="1955"/>
      <c r="Q54" s="1955"/>
      <c r="R54" s="1044"/>
      <c r="S54" s="2022"/>
      <c r="T54" s="2022"/>
      <c r="X54" s="981" t="str">
        <f>'3Orçto'!H24</f>
        <v xml:space="preserve">(30) 0+14=14 X </v>
      </c>
      <c r="Y54" s="981">
        <f t="shared" si="2"/>
        <v>14</v>
      </c>
      <c r="Z54" s="1035">
        <f ca="1">'3Orçto'!I24</f>
        <v>2281</v>
      </c>
      <c r="AA54" s="1036">
        <f ca="1">'3Orçto'!K24</f>
        <v>-0.36131999999999997</v>
      </c>
      <c r="AB54" s="984">
        <f ca="1">'3Orçto'!L24</f>
        <v>31934</v>
      </c>
    </row>
    <row r="55" spans="3:28" ht="14.5" thickBot="1">
      <c r="I55" s="2037" t="s">
        <v>825</v>
      </c>
      <c r="J55" s="2038"/>
      <c r="K55" s="2038"/>
      <c r="L55" s="2038"/>
      <c r="M55" s="2038"/>
      <c r="N55" s="2038"/>
      <c r="O55" s="2039"/>
      <c r="X55" s="981" t="str">
        <f>'3Orçto'!H25</f>
        <v xml:space="preserve">(30) 0+15=15 X </v>
      </c>
      <c r="Y55" s="981">
        <f t="shared" si="2"/>
        <v>15</v>
      </c>
      <c r="Z55" s="1035">
        <f ca="1">'3Orçto'!I25</f>
        <v>2155</v>
      </c>
      <c r="AA55" s="1036">
        <f ca="1">'3Orçto'!K25</f>
        <v>-0.35350000000000004</v>
      </c>
      <c r="AB55" s="984">
        <f ca="1">'3Orçto'!L25</f>
        <v>32325</v>
      </c>
    </row>
    <row r="56" spans="3:28" ht="13.5" thickBot="1">
      <c r="X56" s="981" t="str">
        <f>'3Orçto'!H26</f>
        <v xml:space="preserve">(30) 0+16=16 X </v>
      </c>
      <c r="Y56" s="981">
        <f t="shared" si="2"/>
        <v>16</v>
      </c>
      <c r="Z56" s="1035">
        <f ca="1">'3Orçto'!I26</f>
        <v>2045</v>
      </c>
      <c r="AA56" s="1036">
        <f ca="1">'3Orçto'!K26</f>
        <v>-0.34560000000000002</v>
      </c>
      <c r="AB56" s="984">
        <f ca="1">'3Orçto'!L26</f>
        <v>32720</v>
      </c>
    </row>
    <row r="57" spans="3:28" ht="13.5" thickBot="1">
      <c r="X57" s="981" t="str">
        <f>'3Orçto'!H27</f>
        <v xml:space="preserve">(30) 0+17=17 X </v>
      </c>
      <c r="Y57" s="981">
        <f t="shared" si="2"/>
        <v>17</v>
      </c>
      <c r="Z57" s="1035">
        <f ca="1">'3Orçto'!I27</f>
        <v>1947</v>
      </c>
      <c r="AA57" s="1036">
        <f ca="1">'3Orçto'!K27</f>
        <v>-0.33801999999999999</v>
      </c>
      <c r="AB57" s="984">
        <f ca="1">'3Orçto'!L27</f>
        <v>33099</v>
      </c>
    </row>
    <row r="58" spans="3:28" ht="13.5" thickBot="1">
      <c r="C58" s="1952" t="s">
        <v>826</v>
      </c>
      <c r="D58" s="1953"/>
      <c r="E58" s="1953"/>
      <c r="F58" s="1954"/>
      <c r="X58" s="981" t="str">
        <f>'3Orçto'!H28</f>
        <v xml:space="preserve">(30) 0+18=18 X </v>
      </c>
      <c r="Y58" s="981">
        <f t="shared" si="2"/>
        <v>18</v>
      </c>
      <c r="Z58" s="1035">
        <f ca="1">'3Orçto'!I28</f>
        <v>1861</v>
      </c>
      <c r="AA58" s="1036">
        <f ca="1">'3Orçto'!K28</f>
        <v>-0.33004</v>
      </c>
      <c r="AB58" s="984">
        <f ca="1">'3Orçto'!L28</f>
        <v>33498</v>
      </c>
    </row>
    <row r="59" spans="3:28" ht="13.5" thickBot="1">
      <c r="C59" s="1952" t="s">
        <v>17</v>
      </c>
      <c r="D59" s="1954"/>
      <c r="E59" s="1952" t="s">
        <v>827</v>
      </c>
      <c r="F59" s="1954"/>
      <c r="X59" s="981" t="str">
        <f>'3Orçto'!H29</f>
        <v xml:space="preserve">(30) 0+19=19X </v>
      </c>
      <c r="Y59" s="981">
        <f t="shared" si="2"/>
        <v>19</v>
      </c>
      <c r="Z59" s="1035">
        <f ca="1">'3Orçto'!I29</f>
        <v>1784</v>
      </c>
      <c r="AA59" s="1036">
        <f ca="1">'3Orçto'!K29</f>
        <v>-0.32208000000000003</v>
      </c>
      <c r="AB59" s="984">
        <f ca="1">'3Orçto'!L29</f>
        <v>33896</v>
      </c>
    </row>
    <row r="60" spans="3:28" ht="13.5" thickBot="1">
      <c r="C60" s="2041" t="str">
        <f>'0F Lj'!F2</f>
        <v>Versão nº 22/07/2025</v>
      </c>
      <c r="D60" s="1954"/>
      <c r="E60" s="2041" t="str">
        <f>'0F Lj'!E2</f>
        <v>SisBrasil Nº  10</v>
      </c>
      <c r="F60" s="1954"/>
      <c r="X60" s="981" t="str">
        <f>'3Orçto'!H30</f>
        <v xml:space="preserve">(30) 0+20=20 X </v>
      </c>
      <c r="Y60" s="981">
        <f t="shared" si="2"/>
        <v>20</v>
      </c>
      <c r="Z60" s="1035">
        <f ca="1">'3Orçto'!I30</f>
        <v>1715</v>
      </c>
      <c r="AA60" s="1036">
        <f ca="1">'3Orçto'!K30</f>
        <v>-0.31399999999999995</v>
      </c>
      <c r="AB60" s="984">
        <f ca="1">'3Orçto'!L30</f>
        <v>34300</v>
      </c>
    </row>
    <row r="61" spans="3:28" ht="13.5" thickBot="1">
      <c r="C61" s="1952" t="s">
        <v>828</v>
      </c>
      <c r="D61" s="1954"/>
      <c r="E61" s="2041">
        <f>Validade</f>
        <v>46386</v>
      </c>
      <c r="F61" s="1954"/>
      <c r="X61" s="981" t="str">
        <f>'3Orçto'!H31</f>
        <v xml:space="preserve">(30) 0+21=21 X </v>
      </c>
      <c r="Y61" s="981">
        <f t="shared" si="2"/>
        <v>21</v>
      </c>
      <c r="Z61" s="1035">
        <f ca="1">'3Orçto'!I31</f>
        <v>1653</v>
      </c>
      <c r="AA61" s="1036">
        <f ca="1">'3Orçto'!K31</f>
        <v>-0.30574000000000001</v>
      </c>
      <c r="AB61" s="984">
        <f ca="1">'3Orçto'!L31</f>
        <v>34713</v>
      </c>
    </row>
    <row r="62" spans="3:28" ht="13.5" thickBot="1">
      <c r="C62" s="1952" t="s">
        <v>829</v>
      </c>
      <c r="D62" s="1953"/>
      <c r="E62" s="1953"/>
      <c r="F62" s="1954"/>
      <c r="X62" s="981" t="str">
        <f>'3Orçto'!H32</f>
        <v xml:space="preserve">(30) 0+22=22 X </v>
      </c>
      <c r="Y62" s="981">
        <f t="shared" si="2"/>
        <v>22</v>
      </c>
      <c r="Z62" s="1035">
        <f ca="1">'3Orçto'!I32</f>
        <v>1596</v>
      </c>
      <c r="AA62" s="1036">
        <f ca="1">'3Orçto'!K32</f>
        <v>-0.29776000000000002</v>
      </c>
      <c r="AB62" s="984">
        <f ca="1">'3Orçto'!L32</f>
        <v>35112</v>
      </c>
    </row>
    <row r="63" spans="3:28" ht="13.5" thickBot="1">
      <c r="C63" s="1952" t="s">
        <v>830</v>
      </c>
      <c r="D63" s="1953"/>
      <c r="E63" s="1953"/>
      <c r="F63" s="1954"/>
      <c r="X63" s="981" t="str">
        <f>'3Orçto'!H33</f>
        <v xml:space="preserve">(30) 0+23=23 X </v>
      </c>
      <c r="Y63" s="981">
        <f t="shared" si="2"/>
        <v>23</v>
      </c>
      <c r="Z63" s="1035">
        <f ca="1">'3Orçto'!I33</f>
        <v>1544</v>
      </c>
      <c r="AA63" s="1036">
        <f ca="1">'3Orçto'!K33</f>
        <v>-0.28976000000000002</v>
      </c>
      <c r="AB63" s="984">
        <f ca="1">'3Orçto'!L33</f>
        <v>35512</v>
      </c>
    </row>
    <row r="64" spans="3:28" ht="13.5" thickBot="1">
      <c r="X64" s="981" t="str">
        <f>'3Orçto'!H34</f>
        <v xml:space="preserve">(30) 0+24=24 X </v>
      </c>
      <c r="Y64" s="981">
        <f t="shared" si="2"/>
        <v>24</v>
      </c>
      <c r="Z64" s="1035">
        <f ca="1">'3Orçto'!I34</f>
        <v>1497</v>
      </c>
      <c r="AA64" s="1036">
        <f ca="1">'3Orçto'!K34</f>
        <v>-0.28144000000000002</v>
      </c>
      <c r="AB64" s="984">
        <f ca="1">'3Orçto'!L34</f>
        <v>35928</v>
      </c>
    </row>
    <row r="65" spans="4:28" ht="13.5" thickBot="1">
      <c r="D65" s="2040" t="s">
        <v>831</v>
      </c>
      <c r="E65" s="2040"/>
      <c r="F65" s="1045" t="s">
        <v>121</v>
      </c>
      <c r="G65" s="2042" t="str">
        <f>'0F Lj'!D80</f>
        <v xml:space="preserve"> Sistema ByDesigner Desenvolvido Neri (21) 97014-2420</v>
      </c>
      <c r="H65" s="2042"/>
      <c r="I65" s="2042"/>
      <c r="J65" s="2042"/>
      <c r="K65" s="2042"/>
      <c r="L65" s="2042"/>
      <c r="M65" s="2042"/>
      <c r="N65" s="2042"/>
      <c r="O65" s="2042"/>
      <c r="P65" s="2042"/>
      <c r="Q65" s="2042"/>
      <c r="R65" s="2042"/>
      <c r="X65" s="981" t="str">
        <f>'3Orçto'!H35</f>
        <v xml:space="preserve">(30) 0+25=25 X </v>
      </c>
      <c r="Y65" s="981">
        <f t="shared" si="2"/>
        <v>25</v>
      </c>
      <c r="Z65" s="1035">
        <f ca="1">'3Orçto'!I35</f>
        <v>1454</v>
      </c>
      <c r="AA65" s="1036">
        <f ca="1">'3Orçto'!K35</f>
        <v>-0.27300000000000002</v>
      </c>
      <c r="AB65" s="984">
        <f ca="1">'3Orçto'!L35</f>
        <v>36350</v>
      </c>
    </row>
    <row r="66" spans="4:28" ht="13.5" thickBot="1">
      <c r="X66" s="981" t="str">
        <f>'3Orçto'!H36</f>
        <v xml:space="preserve">(30) 0+26=26 X </v>
      </c>
      <c r="Y66" s="981">
        <f t="shared" si="2"/>
        <v>26</v>
      </c>
      <c r="Z66" s="1035">
        <f ca="1">'3Orçto'!I36</f>
        <v>1414</v>
      </c>
      <c r="AA66" s="1036">
        <f ca="1">'3Orçto'!K36</f>
        <v>-0.26471999999999996</v>
      </c>
      <c r="AB66" s="984">
        <f ca="1">'3Orçto'!L36</f>
        <v>36764</v>
      </c>
    </row>
    <row r="67" spans="4:28" ht="13.5" thickBot="1">
      <c r="X67" s="981" t="str">
        <f>'3Orçto'!H37</f>
        <v xml:space="preserve">(30) 0+27=27 X </v>
      </c>
      <c r="Y67" s="981">
        <f t="shared" si="2"/>
        <v>27</v>
      </c>
      <c r="Z67" s="1035">
        <f ca="1">'3Orçto'!I37</f>
        <v>1377</v>
      </c>
      <c r="AA67" s="1036">
        <f ca="1">'3Orçto'!K37</f>
        <v>-0.25641999999999998</v>
      </c>
      <c r="AB67" s="984">
        <f ca="1">'3Orçto'!L37</f>
        <v>37179</v>
      </c>
    </row>
    <row r="68" spans="4:28" ht="13.5" thickBot="1">
      <c r="X68" s="981" t="str">
        <f>'3Orçto'!H38</f>
        <v xml:space="preserve">(30) 0+28=28 X </v>
      </c>
      <c r="Y68" s="981">
        <f t="shared" si="2"/>
        <v>28</v>
      </c>
      <c r="Z68" s="1035">
        <f ca="1">'3Orçto'!I38</f>
        <v>1343</v>
      </c>
      <c r="AA68" s="1036">
        <f ca="1">'3Orçto'!K38</f>
        <v>-0.24792000000000003</v>
      </c>
      <c r="AB68" s="984">
        <f ca="1">'3Orçto'!L38</f>
        <v>37604</v>
      </c>
    </row>
    <row r="69" spans="4:28" ht="13.5" thickBot="1">
      <c r="X69" s="981" t="str">
        <f>'3Orçto'!H39</f>
        <v xml:space="preserve">(30) 0+29=29 X </v>
      </c>
      <c r="Y69" s="981">
        <f t="shared" si="2"/>
        <v>29</v>
      </c>
      <c r="Z69" s="1035">
        <f ca="1">'3Orçto'!I39</f>
        <v>1311</v>
      </c>
      <c r="AA69" s="1036">
        <f ca="1">'3Orçto'!K39</f>
        <v>-0.23962000000000006</v>
      </c>
      <c r="AB69" s="984">
        <f ca="1">'3Orçto'!L39</f>
        <v>38019</v>
      </c>
    </row>
    <row r="70" spans="4:28" ht="13.5" thickBot="1">
      <c r="X70" s="981" t="str">
        <f>'3Orçto'!H40</f>
        <v xml:space="preserve">(30) 0+30=30 X </v>
      </c>
      <c r="Y70" s="981">
        <f t="shared" si="2"/>
        <v>30</v>
      </c>
      <c r="Z70" s="1035">
        <f ca="1">'3Orçto'!I40</f>
        <v>1282</v>
      </c>
      <c r="AA70" s="1036">
        <f ca="1">'3Orçto'!K40</f>
        <v>-0.23080000000000001</v>
      </c>
      <c r="AB70" s="984">
        <f ca="1">'3Orçto'!L40</f>
        <v>38460</v>
      </c>
    </row>
    <row r="71" spans="4:28" ht="13.5" thickBot="1">
      <c r="X71" s="981" t="str">
        <f>'3Orçto'!H41</f>
        <v xml:space="preserve">(30) 0+31=31 X </v>
      </c>
      <c r="Y71" s="981">
        <f t="shared" si="2"/>
        <v>31</v>
      </c>
      <c r="Z71" s="1035">
        <f ca="1">'3Orçto'!I41</f>
        <v>1254</v>
      </c>
      <c r="AA71" s="1036">
        <f ca="1">'3Orçto'!K41</f>
        <v>-0.22252000000000005</v>
      </c>
      <c r="AB71" s="984">
        <f ca="1">'3Orçto'!L41</f>
        <v>38874</v>
      </c>
    </row>
    <row r="72" spans="4:28" ht="13.5" thickBot="1">
      <c r="X72" s="981" t="str">
        <f>'3Orçto'!H42</f>
        <v xml:space="preserve">(30) 0+32=32 X </v>
      </c>
      <c r="Y72" s="981">
        <f t="shared" si="2"/>
        <v>32</v>
      </c>
      <c r="Z72" s="1035">
        <f ca="1">'3Orçto'!I42</f>
        <v>1229</v>
      </c>
      <c r="AA72" s="1036">
        <f ca="1">'3Orçto'!K42</f>
        <v>-0.21343999999999996</v>
      </c>
      <c r="AB72" s="984">
        <f ca="1">'3Orçto'!L42</f>
        <v>39328</v>
      </c>
    </row>
    <row r="73" spans="4:28" ht="13.5" thickBot="1">
      <c r="X73" s="981" t="str">
        <f>'3Orçto'!H43</f>
        <v xml:space="preserve">(30) 0+33=33 X </v>
      </c>
      <c r="Y73" s="981">
        <f t="shared" si="2"/>
        <v>33</v>
      </c>
      <c r="Z73" s="1035">
        <f ca="1">'3Orçto'!I43</f>
        <v>1205</v>
      </c>
      <c r="AA73" s="1036">
        <f ca="1">'3Orçto'!K43</f>
        <v>-0.20469999999999999</v>
      </c>
      <c r="AB73" s="984">
        <f ca="1">'3Orçto'!L43</f>
        <v>39765</v>
      </c>
    </row>
    <row r="74" spans="4:28" ht="13.5" thickBot="1">
      <c r="X74" s="981" t="str">
        <f>'3Orçto'!H44</f>
        <v xml:space="preserve">(30) 0+34=34 X </v>
      </c>
      <c r="Y74" s="981">
        <f t="shared" si="2"/>
        <v>34</v>
      </c>
      <c r="Z74" s="1035">
        <f ca="1">'3Orçto'!I44</f>
        <v>1182</v>
      </c>
      <c r="AA74" s="1036">
        <f ca="1">'3Orçto'!K44</f>
        <v>-0.19623999999999997</v>
      </c>
      <c r="AB74" s="984">
        <f ca="1">'3Orçto'!L44</f>
        <v>40188</v>
      </c>
    </row>
    <row r="75" spans="4:28" ht="13.5" thickBot="1">
      <c r="X75" s="981" t="str">
        <f>'3Orçto'!H45</f>
        <v xml:space="preserve">(30) 0+35=35 X </v>
      </c>
      <c r="Y75" s="981">
        <f t="shared" si="2"/>
        <v>35</v>
      </c>
      <c r="Z75" s="1035">
        <f ca="1">'3Orçto'!I45</f>
        <v>1161</v>
      </c>
      <c r="AA75" s="1036">
        <f ca="1">'3Orçto'!K45</f>
        <v>-0.18730000000000002</v>
      </c>
      <c r="AB75" s="984">
        <f ca="1">'3Orçto'!L45</f>
        <v>40635</v>
      </c>
    </row>
    <row r="76" spans="4:28" ht="13.5" thickBot="1">
      <c r="X76" s="981" t="str">
        <f>'3Orçto'!H46</f>
        <v xml:space="preserve">(30) 0+36=36 X </v>
      </c>
      <c r="Y76" s="981">
        <f t="shared" si="2"/>
        <v>36</v>
      </c>
      <c r="Z76" s="1035">
        <f ca="1">'3Orçto'!I46</f>
        <v>1141</v>
      </c>
      <c r="AA76" s="1036">
        <f ca="1">'3Orçto'!K46</f>
        <v>-0.17847999999999997</v>
      </c>
      <c r="AB76" s="984">
        <f ca="1">'3Orçto'!L46</f>
        <v>41076</v>
      </c>
    </row>
    <row r="77" spans="4:28" ht="13.5" thickBot="1">
      <c r="X77" s="981" t="str">
        <f>'3Orçto'!N11</f>
        <v xml:space="preserve">(60) 0+01=01 X </v>
      </c>
      <c r="Y77" s="981">
        <v>1</v>
      </c>
      <c r="Z77" s="982">
        <f ca="1">'3Orçto'!P11</f>
        <v>27968</v>
      </c>
      <c r="AA77" s="1036">
        <f ca="1">'3Orçto'!Q11</f>
        <v>-0.44064000000000003</v>
      </c>
      <c r="AB77" s="984">
        <f ca="1">'3Orçto'!R11</f>
        <v>27968</v>
      </c>
    </row>
    <row r="78" spans="4:28" ht="13.5" thickBot="1">
      <c r="X78" s="981" t="str">
        <f>'3Orçto'!N12</f>
        <v xml:space="preserve">(60) 0+02=02 X </v>
      </c>
      <c r="Y78" s="981">
        <f t="shared" ref="Y78:Y112" si="3">Y77+1</f>
        <v>2</v>
      </c>
      <c r="Z78" s="982">
        <f ca="1">'3Orçto'!P12</f>
        <v>14124</v>
      </c>
      <c r="AA78" s="1036">
        <f ca="1">'3Orçto'!Q12</f>
        <v>-0.43503999999999998</v>
      </c>
      <c r="AB78" s="984">
        <f ca="1">'3Orçto'!R12</f>
        <v>28248</v>
      </c>
    </row>
    <row r="79" spans="4:28" ht="13.5" thickBot="1">
      <c r="X79" s="981" t="str">
        <f>'3Orçto'!N13</f>
        <v xml:space="preserve">(60) 0+03=03 X </v>
      </c>
      <c r="Y79" s="981">
        <f t="shared" si="3"/>
        <v>3</v>
      </c>
      <c r="Z79" s="982">
        <f ca="1">'3Orçto'!P13</f>
        <v>9536</v>
      </c>
      <c r="AA79" s="1036">
        <f ca="1">'3Orçto'!Q13</f>
        <v>-0.42784</v>
      </c>
      <c r="AB79" s="984">
        <f ca="1">'3Orçto'!R13</f>
        <v>28608</v>
      </c>
    </row>
    <row r="80" spans="4:28" ht="13.5" thickBot="1">
      <c r="X80" s="981" t="str">
        <f>'3Orçto'!N14</f>
        <v xml:space="preserve">(60) 0+04=04 X </v>
      </c>
      <c r="Y80" s="981">
        <f t="shared" si="3"/>
        <v>4</v>
      </c>
      <c r="Z80" s="982">
        <f ca="1">'3Orçto'!P14</f>
        <v>7243</v>
      </c>
      <c r="AA80" s="1036">
        <f ca="1">'3Orçto'!Q14</f>
        <v>-0.42056000000000004</v>
      </c>
      <c r="AB80" s="984">
        <f ca="1">'3Orçto'!R14</f>
        <v>28972</v>
      </c>
    </row>
    <row r="81" spans="24:28" ht="13.5" thickBot="1">
      <c r="X81" s="981" t="str">
        <f>'3Orçto'!N15</f>
        <v xml:space="preserve">(60) 0+05=05 X </v>
      </c>
      <c r="Y81" s="981">
        <f t="shared" si="3"/>
        <v>5</v>
      </c>
      <c r="Z81" s="982">
        <f ca="1">'3Orçto'!P15</f>
        <v>5867</v>
      </c>
      <c r="AA81" s="1036">
        <f ca="1">'3Orçto'!Q15</f>
        <v>-0.40588000000000002</v>
      </c>
      <c r="AB81" s="984">
        <f ca="1">'3Orçto'!R15</f>
        <v>29335</v>
      </c>
    </row>
    <row r="82" spans="24:28" ht="13.5" thickBot="1">
      <c r="X82" s="981" t="str">
        <f>'3Orçto'!N16</f>
        <v xml:space="preserve">(60) 0+06=06 X </v>
      </c>
      <c r="Y82" s="981">
        <f t="shared" si="3"/>
        <v>6</v>
      </c>
      <c r="Z82" s="982">
        <f ca="1">'3Orçto'!P16</f>
        <v>4951</v>
      </c>
      <c r="AA82" s="1036">
        <f ca="1">'3Orçto'!Q16</f>
        <v>-0.39842</v>
      </c>
      <c r="AB82" s="984">
        <f ca="1">'3Orçto'!R16</f>
        <v>29706</v>
      </c>
    </row>
    <row r="83" spans="24:28" ht="13.5" thickBot="1">
      <c r="X83" s="981" t="str">
        <f>'3Orçto'!N17</f>
        <v xml:space="preserve">(60) 0+07=07 X </v>
      </c>
      <c r="Y83" s="981">
        <f t="shared" si="3"/>
        <v>7</v>
      </c>
      <c r="Z83" s="982">
        <f ca="1">'3Orçto'!P17</f>
        <v>4297</v>
      </c>
      <c r="AA83" s="1036">
        <f ca="1">'3Orçto'!Q17</f>
        <v>-0.39842</v>
      </c>
      <c r="AB83" s="984">
        <f ca="1">'3Orçto'!R17</f>
        <v>30079</v>
      </c>
    </row>
    <row r="84" spans="24:28" ht="13.5" thickBot="1">
      <c r="X84" s="981" t="str">
        <f>'3Orçto'!N18</f>
        <v xml:space="preserve">(60) 0+08=08 X </v>
      </c>
      <c r="Y84" s="981">
        <f t="shared" si="3"/>
        <v>8</v>
      </c>
      <c r="Z84" s="982">
        <f ca="1">'3Orçto'!P18</f>
        <v>3807</v>
      </c>
      <c r="AA84" s="1036">
        <f ca="1">'3Orçto'!Q18</f>
        <v>-0.39088000000000001</v>
      </c>
      <c r="AB84" s="984">
        <f ca="1">'3Orçto'!R18</f>
        <v>30456</v>
      </c>
    </row>
    <row r="85" spans="24:28" ht="13.5" thickBot="1">
      <c r="X85" s="981" t="str">
        <f>'3Orçto'!N19</f>
        <v xml:space="preserve">(60) 0+09=09 X </v>
      </c>
      <c r="Y85" s="981">
        <f t="shared" si="3"/>
        <v>9</v>
      </c>
      <c r="Z85" s="982">
        <f ca="1">'3Orçto'!P19</f>
        <v>3426</v>
      </c>
      <c r="AA85" s="1036">
        <f ca="1">'3Orçto'!Q19</f>
        <v>-0.38331999999999999</v>
      </c>
      <c r="AB85" s="984">
        <f ca="1">'3Orçto'!R19</f>
        <v>30834</v>
      </c>
    </row>
    <row r="86" spans="24:28" ht="13.5" thickBot="1">
      <c r="X86" s="981" t="str">
        <f>'3Orçto'!N20</f>
        <v xml:space="preserve">(60) 0+10=10 X </v>
      </c>
      <c r="Y86" s="981">
        <f t="shared" si="3"/>
        <v>10</v>
      </c>
      <c r="Z86" s="982">
        <f ca="1">'3Orçto'!P20</f>
        <v>3121</v>
      </c>
      <c r="AA86" s="1036">
        <f ca="1">'3Orçto'!Q20</f>
        <v>-0.37580000000000002</v>
      </c>
      <c r="AB86" s="984">
        <f ca="1">'3Orçto'!R20</f>
        <v>31210</v>
      </c>
    </row>
    <row r="87" spans="24:28" ht="13.5" thickBot="1">
      <c r="X87" s="981" t="str">
        <f>'3Orçto'!N21</f>
        <v xml:space="preserve">(60) 0+11=11 X </v>
      </c>
      <c r="Y87" s="981">
        <f t="shared" si="3"/>
        <v>11</v>
      </c>
      <c r="Z87" s="982">
        <f ca="1">'3Orçto'!P21</f>
        <v>2872</v>
      </c>
      <c r="AA87" s="1036">
        <f ca="1">'3Orçto'!Q21</f>
        <v>-0.36816000000000004</v>
      </c>
      <c r="AB87" s="984">
        <f ca="1">'3Orçto'!R21</f>
        <v>31592</v>
      </c>
    </row>
    <row r="88" spans="24:28" ht="13.5" thickBot="1">
      <c r="X88" s="981" t="str">
        <f>'3Orçto'!N22</f>
        <v xml:space="preserve">(60) 0+12=12 X </v>
      </c>
      <c r="Y88" s="981">
        <f t="shared" si="3"/>
        <v>12</v>
      </c>
      <c r="Z88" s="982">
        <f ca="1">'3Orçto'!P22</f>
        <v>2665</v>
      </c>
      <c r="AA88" s="1036">
        <f ca="1">'3Orçto'!Q22</f>
        <v>-0.36040000000000005</v>
      </c>
      <c r="AB88" s="984">
        <f ca="1">'3Orçto'!R22</f>
        <v>31980</v>
      </c>
    </row>
    <row r="89" spans="24:28" ht="13.5" thickBot="1">
      <c r="X89" s="981" t="str">
        <f>'3Orçto'!N23</f>
        <v xml:space="preserve">(60) 0+13=13 X </v>
      </c>
      <c r="Y89" s="981">
        <f t="shared" si="3"/>
        <v>13</v>
      </c>
      <c r="Z89" s="982">
        <f ca="1">'3Orçto'!P23</f>
        <v>2490</v>
      </c>
      <c r="AA89" s="1036">
        <f ca="1">'3Orçto'!Q23</f>
        <v>-0.35260000000000002</v>
      </c>
      <c r="AB89" s="984">
        <f ca="1">'3Orçto'!R23</f>
        <v>32370</v>
      </c>
    </row>
    <row r="90" spans="24:28" ht="13.5" thickBot="1">
      <c r="X90" s="981" t="str">
        <f>'3Orçto'!N24</f>
        <v xml:space="preserve">(60) 0+14=14 X </v>
      </c>
      <c r="Y90" s="981">
        <f t="shared" si="3"/>
        <v>14</v>
      </c>
      <c r="Z90" s="982">
        <f ca="1">'3Orçto'!P24</f>
        <v>2340</v>
      </c>
      <c r="AA90" s="1036">
        <f ca="1">'3Orçto'!Q24</f>
        <v>-0.3448</v>
      </c>
      <c r="AB90" s="984">
        <f ca="1">'3Orçto'!R24</f>
        <v>32760</v>
      </c>
    </row>
    <row r="91" spans="24:28" ht="13.5" thickBot="1">
      <c r="X91" s="981" t="str">
        <f>'3Orçto'!N25</f>
        <v xml:space="preserve">(60) 0+15=15 X </v>
      </c>
      <c r="Y91" s="981">
        <f t="shared" si="3"/>
        <v>15</v>
      </c>
      <c r="Z91" s="982">
        <f ca="1">'3Orçto'!P25</f>
        <v>2211</v>
      </c>
      <c r="AA91" s="1036">
        <f ca="1">'3Orçto'!Q25</f>
        <v>-0.3367</v>
      </c>
      <c r="AB91" s="984">
        <f ca="1">'3Orçto'!R25</f>
        <v>33165</v>
      </c>
    </row>
    <row r="92" spans="24:28" ht="13.5" thickBot="1">
      <c r="X92" s="981" t="str">
        <f>'3Orçto'!N26</f>
        <v xml:space="preserve">(60) 0+16=16 X </v>
      </c>
      <c r="Y92" s="981">
        <f t="shared" si="3"/>
        <v>16</v>
      </c>
      <c r="Z92" s="982">
        <f ca="1">'3Orçto'!P26</f>
        <v>2097</v>
      </c>
      <c r="AA92" s="1036">
        <f ca="1">'3Orçto'!Q26</f>
        <v>-0.32896000000000003</v>
      </c>
      <c r="AB92" s="984">
        <f ca="1">'3Orçto'!R26</f>
        <v>33552</v>
      </c>
    </row>
    <row r="93" spans="24:28" ht="13.5" thickBot="1">
      <c r="X93" s="981" t="str">
        <f>'3Orçto'!N27</f>
        <v xml:space="preserve">(60) 0+17=17 X </v>
      </c>
      <c r="Y93" s="981">
        <f t="shared" si="3"/>
        <v>17</v>
      </c>
      <c r="Z93" s="982">
        <f ca="1">'3Orçto'!P27</f>
        <v>1998</v>
      </c>
      <c r="AA93" s="1036">
        <f ca="1">'3Orçto'!Q27</f>
        <v>-0.32067999999999997</v>
      </c>
      <c r="AB93" s="984">
        <f ca="1">'3Orçto'!R27</f>
        <v>33966</v>
      </c>
    </row>
    <row r="94" spans="24:28" ht="13.5" thickBot="1">
      <c r="X94" s="981" t="str">
        <f>'3Orçto'!N28</f>
        <v xml:space="preserve">(60) 0+18=18 X </v>
      </c>
      <c r="Y94" s="981">
        <f t="shared" si="3"/>
        <v>18</v>
      </c>
      <c r="Z94" s="982">
        <f ca="1">'3Orçto'!P28</f>
        <v>1909</v>
      </c>
      <c r="AA94" s="1036">
        <f ca="1">'3Orçto'!Q28</f>
        <v>-0.31276000000000004</v>
      </c>
      <c r="AB94" s="984">
        <f ca="1">'3Orçto'!R28</f>
        <v>34362</v>
      </c>
    </row>
    <row r="95" spans="24:28" ht="13.5" thickBot="1">
      <c r="X95" s="981" t="str">
        <f>'3Orçto'!N29</f>
        <v xml:space="preserve">(60) 0+19=19X </v>
      </c>
      <c r="Y95" s="981">
        <f t="shared" si="3"/>
        <v>19</v>
      </c>
      <c r="Z95" s="982">
        <f ca="1">'3Orçto'!P29</f>
        <v>1830</v>
      </c>
      <c r="AA95" s="1036">
        <f ca="1">'3Orçto'!Q29</f>
        <v>-0.30459999999999998</v>
      </c>
      <c r="AB95" s="984">
        <f ca="1">'3Orçto'!R29</f>
        <v>34770</v>
      </c>
    </row>
    <row r="96" spans="24:28" ht="13.5" thickBot="1">
      <c r="X96" s="981" t="str">
        <f>'3Orçto'!N30</f>
        <v xml:space="preserve">(60) 0+20=20 X </v>
      </c>
      <c r="Y96" s="981">
        <f t="shared" si="3"/>
        <v>20</v>
      </c>
      <c r="Z96" s="982">
        <f ca="1">'3Orçto'!P30</f>
        <v>1759</v>
      </c>
      <c r="AA96" s="1036">
        <f ca="1">'3Orçto'!Q30</f>
        <v>-0.2964</v>
      </c>
      <c r="AB96" s="984">
        <f ca="1">'3Orçto'!R30</f>
        <v>35180</v>
      </c>
    </row>
    <row r="97" spans="24:28" ht="13.5" thickBot="1">
      <c r="X97" s="981" t="str">
        <f>'3Orçto'!N31</f>
        <v xml:space="preserve">(60) 0+21=21 X </v>
      </c>
      <c r="Y97" s="981">
        <f t="shared" si="3"/>
        <v>21</v>
      </c>
      <c r="Z97" s="982">
        <f ca="1">'3Orçto'!P31</f>
        <v>1695</v>
      </c>
      <c r="AA97" s="1036">
        <f ca="1">'3Orçto'!Q31</f>
        <v>-0.28810000000000002</v>
      </c>
      <c r="AB97" s="984">
        <f ca="1">'3Orçto'!R31</f>
        <v>35595</v>
      </c>
    </row>
    <row r="98" spans="24:28" ht="13.5" thickBot="1">
      <c r="X98" s="981" t="str">
        <f>'3Orçto'!N32</f>
        <v xml:space="preserve">(60) 0+22=22 X </v>
      </c>
      <c r="Y98" s="981">
        <f t="shared" si="3"/>
        <v>22</v>
      </c>
      <c r="Z98" s="982">
        <f ca="1">'3Orçto'!P32</f>
        <v>1637</v>
      </c>
      <c r="AA98" s="1036">
        <f ca="1">'3Orçto'!Q32</f>
        <v>-0.27971999999999997</v>
      </c>
      <c r="AB98" s="984">
        <f ca="1">'3Orçto'!R32</f>
        <v>36014</v>
      </c>
    </row>
    <row r="99" spans="24:28" ht="13.5" thickBot="1">
      <c r="X99" s="981" t="str">
        <f>'3Orçto'!N33</f>
        <v xml:space="preserve">(60) 0+23=23 X </v>
      </c>
      <c r="Y99" s="981">
        <f t="shared" si="3"/>
        <v>23</v>
      </c>
      <c r="Z99" s="982">
        <f ca="1">'3Orçto'!P33</f>
        <v>1584</v>
      </c>
      <c r="AA99" s="1036">
        <f ca="1">'3Orçto'!Q33</f>
        <v>-0.27136000000000005</v>
      </c>
      <c r="AB99" s="984">
        <f ca="1">'3Orçto'!R33</f>
        <v>36432</v>
      </c>
    </row>
    <row r="100" spans="24:28" ht="13.5" thickBot="1">
      <c r="X100" s="981" t="str">
        <f>'3Orçto'!N34</f>
        <v xml:space="preserve">(60) 0+24=24 X </v>
      </c>
      <c r="Y100" s="981">
        <f t="shared" si="3"/>
        <v>24</v>
      </c>
      <c r="Z100" s="982">
        <f ca="1">'3Orçto'!P34</f>
        <v>1536</v>
      </c>
      <c r="AA100" s="1036">
        <f ca="1">'3Orçto'!Q34</f>
        <v>-0.26271999999999995</v>
      </c>
      <c r="AB100" s="984">
        <f ca="1">'3Orçto'!R34</f>
        <v>36864</v>
      </c>
    </row>
    <row r="101" spans="24:28" ht="13.5" thickBot="1">
      <c r="X101" s="981" t="str">
        <f>'3Orçto'!N35</f>
        <v xml:space="preserve">(60) 0+25=25 X </v>
      </c>
      <c r="Y101" s="981">
        <f t="shared" si="3"/>
        <v>25</v>
      </c>
      <c r="Z101" s="982">
        <f ca="1">'3Orçto'!P35</f>
        <v>1491</v>
      </c>
      <c r="AA101" s="1036">
        <f ca="1">'3Orçto'!Q35</f>
        <v>-0.25449999999999995</v>
      </c>
      <c r="AB101" s="984">
        <f ca="1">'3Orçto'!R35</f>
        <v>37275</v>
      </c>
    </row>
    <row r="102" spans="24:28" ht="13.5" thickBot="1">
      <c r="X102" s="981" t="str">
        <f>'3Orçto'!N36</f>
        <v xml:space="preserve">(60) 0+26=26 X </v>
      </c>
      <c r="Y102" s="981">
        <f t="shared" si="3"/>
        <v>26</v>
      </c>
      <c r="Z102" s="982">
        <f ca="1">'3Orçto'!P36</f>
        <v>1450</v>
      </c>
      <c r="AA102" s="1036">
        <f ca="1">'3Orçto'!Q36</f>
        <v>-0.246</v>
      </c>
      <c r="AB102" s="984">
        <f ca="1">'3Orçto'!R36</f>
        <v>37700</v>
      </c>
    </row>
    <row r="103" spans="24:28" ht="13.5" thickBot="1">
      <c r="X103" s="981" t="str">
        <f>'3Orçto'!N37</f>
        <v xml:space="preserve">(60) 0+27=27 X </v>
      </c>
      <c r="Y103" s="981">
        <f t="shared" si="3"/>
        <v>27</v>
      </c>
      <c r="Z103" s="982">
        <f ca="1">'3Orçto'!P37</f>
        <v>1413</v>
      </c>
      <c r="AA103" s="1036">
        <f ca="1">'3Orçto'!Q37</f>
        <v>-0.23697999999999997</v>
      </c>
      <c r="AB103" s="984">
        <f ca="1">'3Orçto'!R37</f>
        <v>38151</v>
      </c>
    </row>
    <row r="104" spans="24:28" ht="13.5" thickBot="1">
      <c r="X104" s="981" t="str">
        <f>'3Orçto'!N38</f>
        <v xml:space="preserve">(60) 0+28=28 X </v>
      </c>
      <c r="Y104" s="981">
        <f t="shared" si="3"/>
        <v>28</v>
      </c>
      <c r="Z104" s="982">
        <f ca="1">'3Orçto'!P38</f>
        <v>1378</v>
      </c>
      <c r="AA104" s="1036">
        <f ca="1">'3Orçto'!Q38</f>
        <v>-0.22831999999999997</v>
      </c>
      <c r="AB104" s="984">
        <f ca="1">'3Orçto'!R38</f>
        <v>38584</v>
      </c>
    </row>
    <row r="105" spans="24:28" ht="13.5" thickBot="1">
      <c r="X105" s="981" t="str">
        <f>'3Orçto'!N39</f>
        <v xml:space="preserve">(60) 0+29=29 X </v>
      </c>
      <c r="Y105" s="981">
        <f t="shared" si="3"/>
        <v>29</v>
      </c>
      <c r="Z105" s="982">
        <f ca="1">'3Orçto'!P39</f>
        <v>1345</v>
      </c>
      <c r="AA105" s="1036">
        <f ca="1">'3Orçto'!Q39</f>
        <v>-0.21989999999999998</v>
      </c>
      <c r="AB105" s="984">
        <f ca="1">'3Orçto'!R39</f>
        <v>39005</v>
      </c>
    </row>
    <row r="106" spans="24:28" ht="13.5" thickBot="1">
      <c r="X106" s="981" t="str">
        <f>'3Orçto'!N40</f>
        <v xml:space="preserve">(60) 0+30=30 X </v>
      </c>
      <c r="Y106" s="981">
        <f t="shared" si="3"/>
        <v>30</v>
      </c>
      <c r="Z106" s="982">
        <f ca="1">'3Orçto'!P40</f>
        <v>1315</v>
      </c>
      <c r="AA106" s="1036">
        <f ca="1">'3Orçto'!Q40</f>
        <v>-0.21099999999999997</v>
      </c>
      <c r="AB106" s="984">
        <f ca="1">'3Orçto'!R40</f>
        <v>39450</v>
      </c>
    </row>
    <row r="107" spans="24:28" ht="13.5" thickBot="1">
      <c r="X107" s="981" t="str">
        <f>'3Orçto'!N41</f>
        <v xml:space="preserve">(60) 0+31=31 X </v>
      </c>
      <c r="Y107" s="981">
        <f t="shared" si="3"/>
        <v>31</v>
      </c>
      <c r="Z107" s="982">
        <f ca="1">'3Orçto'!P41</f>
        <v>1287</v>
      </c>
      <c r="AA107" s="1036">
        <f ca="1">'3Orçto'!Q41</f>
        <v>-0.20206000000000002</v>
      </c>
      <c r="AB107" s="984">
        <f ca="1">'3Orçto'!R41</f>
        <v>39897</v>
      </c>
    </row>
    <row r="108" spans="24:28" ht="13.5" thickBot="1">
      <c r="X108" s="981" t="str">
        <f>'3Orçto'!N42</f>
        <v xml:space="preserve">(60) 0+32=32 X </v>
      </c>
      <c r="Y108" s="981">
        <f t="shared" si="3"/>
        <v>32</v>
      </c>
      <c r="Z108" s="982">
        <f ca="1">'3Orçto'!P42</f>
        <v>1261</v>
      </c>
      <c r="AA108" s="1036">
        <f ca="1">'3Orçto'!Q42</f>
        <v>-0.19296000000000002</v>
      </c>
      <c r="AB108" s="984">
        <f ca="1">'3Orçto'!R42</f>
        <v>40352</v>
      </c>
    </row>
    <row r="109" spans="24:28" ht="13.5" thickBot="1">
      <c r="X109" s="981" t="str">
        <f>'3Orçto'!N43</f>
        <v xml:space="preserve">(60) 0+33=33 X </v>
      </c>
      <c r="Y109" s="981">
        <f t="shared" si="3"/>
        <v>33</v>
      </c>
      <c r="Z109" s="982">
        <f ca="1">'3Orçto'!P43</f>
        <v>1236</v>
      </c>
      <c r="AA109" s="1036">
        <f ca="1">'3Orçto'!Q43</f>
        <v>-0.18423999999999996</v>
      </c>
      <c r="AB109" s="984">
        <f ca="1">'3Orçto'!R43</f>
        <v>40788</v>
      </c>
    </row>
    <row r="110" spans="24:28" ht="13.5" thickBot="1">
      <c r="X110" s="981" t="str">
        <f>'3Orçto'!N44</f>
        <v xml:space="preserve">(60) 0+34=34 X </v>
      </c>
      <c r="Y110" s="981">
        <f t="shared" si="3"/>
        <v>34</v>
      </c>
      <c r="Z110" s="982">
        <f ca="1">'3Orçto'!P44</f>
        <v>1213</v>
      </c>
      <c r="AA110" s="1036">
        <f ca="1">'3Orçto'!Q44</f>
        <v>-0.17515999999999998</v>
      </c>
      <c r="AB110" s="984">
        <f ca="1">'3Orçto'!R44</f>
        <v>41242</v>
      </c>
    </row>
    <row r="111" spans="24:28" ht="13.5" thickBot="1">
      <c r="X111" s="981" t="str">
        <f>'3Orçto'!N45</f>
        <v xml:space="preserve">(60) 0+35=35 X </v>
      </c>
      <c r="Y111" s="981">
        <f t="shared" si="3"/>
        <v>35</v>
      </c>
      <c r="Z111" s="982">
        <f ca="1">'3Orçto'!P45</f>
        <v>1191</v>
      </c>
      <c r="AA111" s="1036">
        <f ca="1">'3Orçto'!Q45</f>
        <v>-0.1663</v>
      </c>
      <c r="AB111" s="984">
        <f ca="1">'3Orçto'!R45</f>
        <v>41685</v>
      </c>
    </row>
    <row r="112" spans="24:28" ht="13.5" thickBot="1">
      <c r="X112" s="981" t="str">
        <f>'3Orçto'!N46</f>
        <v xml:space="preserve">(60) 0+36=36 X </v>
      </c>
      <c r="Y112" s="981">
        <f t="shared" si="3"/>
        <v>36</v>
      </c>
      <c r="Z112" s="982">
        <f ca="1">'3Orçto'!P46</f>
        <v>1171</v>
      </c>
      <c r="AA112" s="1036">
        <f ca="1">'3Orçto'!Q46</f>
        <v>-0.15688000000000002</v>
      </c>
      <c r="AB112" s="984">
        <f ca="1">'3Orçto'!R46</f>
        <v>42156</v>
      </c>
    </row>
    <row r="113" spans="24:28" ht="13.5" thickBot="1">
      <c r="X113" s="981" t="str">
        <f>'3Orçto'!T11</f>
        <v xml:space="preserve">(90) 0+01=01 X </v>
      </c>
      <c r="Y113" s="981">
        <v>1</v>
      </c>
      <c r="Z113" s="1046">
        <f ca="1">'3Orçto'!V11</f>
        <v>28692</v>
      </c>
      <c r="AA113" s="1036">
        <f ca="1">'3Orçto'!W11</f>
        <v>-0.42615999999999998</v>
      </c>
      <c r="AB113" s="1047">
        <f ca="1">'3Orçto'!X11</f>
        <v>28692</v>
      </c>
    </row>
    <row r="114" spans="24:28" ht="13.5" thickBot="1">
      <c r="X114" s="981" t="str">
        <f>'3Orçto'!T12</f>
        <v xml:space="preserve">(90) 0+02=02 X </v>
      </c>
      <c r="Y114" s="981">
        <f t="shared" ref="Y114:Y148" si="4">Y113+1</f>
        <v>2</v>
      </c>
      <c r="Z114" s="1046">
        <f ca="1">'3Orçto'!V12</f>
        <v>14490</v>
      </c>
      <c r="AA114" s="1036">
        <f ca="1">'3Orçto'!W12</f>
        <v>-0.4204</v>
      </c>
      <c r="AB114" s="1047">
        <f ca="1">'3Orçto'!X12</f>
        <v>28980</v>
      </c>
    </row>
    <row r="115" spans="24:28" ht="13.5" thickBot="1">
      <c r="X115" s="981" t="str">
        <f>'3Orçto'!T13</f>
        <v xml:space="preserve">(90) 0+03=03 X </v>
      </c>
      <c r="Y115" s="981">
        <f t="shared" si="4"/>
        <v>3</v>
      </c>
      <c r="Z115" s="1046">
        <f ca="1">'3Orçto'!V13</f>
        <v>9783</v>
      </c>
      <c r="AA115" s="1036">
        <f ca="1">'3Orçto'!W13</f>
        <v>-0.41302000000000005</v>
      </c>
      <c r="AB115" s="1047">
        <f ca="1">'3Orçto'!X13</f>
        <v>29349</v>
      </c>
    </row>
    <row r="116" spans="24:28" ht="13.5" thickBot="1">
      <c r="X116" s="981" t="str">
        <f>'3Orçto'!T14</f>
        <v xml:space="preserve">(90) 0+04=04 X </v>
      </c>
      <c r="Y116" s="981">
        <f t="shared" si="4"/>
        <v>4</v>
      </c>
      <c r="Z116" s="1046">
        <f ca="1">'3Orçto'!V14</f>
        <v>7430</v>
      </c>
      <c r="AA116" s="1036">
        <f ca="1">'3Orçto'!W14</f>
        <v>-0.40559999999999996</v>
      </c>
      <c r="AB116" s="1047">
        <f ca="1">'3Orçto'!X14</f>
        <v>29720</v>
      </c>
    </row>
    <row r="117" spans="24:28" ht="13.5" thickBot="1">
      <c r="X117" s="981" t="str">
        <f>'3Orçto'!T15</f>
        <v xml:space="preserve">(90) 0+05=05 X </v>
      </c>
      <c r="Y117" s="981">
        <f t="shared" si="4"/>
        <v>5</v>
      </c>
      <c r="Z117" s="1046">
        <f ca="1">'3Orçto'!V15</f>
        <v>6019</v>
      </c>
      <c r="AA117" s="1036">
        <f ca="1">'3Orçto'!W15</f>
        <v>-0.39810000000000001</v>
      </c>
      <c r="AB117" s="1047">
        <f ca="1">'3Orçto'!X15</f>
        <v>30095</v>
      </c>
    </row>
    <row r="118" spans="24:28" ht="13.5" thickBot="1">
      <c r="X118" s="981" t="str">
        <f>'3Orçto'!T16</f>
        <v xml:space="preserve">(90) 0+06=06 X </v>
      </c>
      <c r="Y118" s="981">
        <f t="shared" si="4"/>
        <v>6</v>
      </c>
      <c r="Z118" s="1046">
        <f ca="1">'3Orçto'!V16</f>
        <v>5079</v>
      </c>
      <c r="AA118" s="1036">
        <f ca="1">'3Orçto'!W16</f>
        <v>-0.39051999999999998</v>
      </c>
      <c r="AB118" s="1047">
        <f ca="1">'3Orçto'!X16</f>
        <v>30474</v>
      </c>
    </row>
    <row r="119" spans="24:28" ht="13.5" thickBot="1">
      <c r="X119" s="981" t="str">
        <f>'3Orçto'!T17</f>
        <v xml:space="preserve">(90) 0+07=07 X </v>
      </c>
      <c r="Y119" s="981">
        <f t="shared" si="4"/>
        <v>7</v>
      </c>
      <c r="Z119" s="1046">
        <f ca="1">'3Orçto'!V17</f>
        <v>4408</v>
      </c>
      <c r="AA119" s="1036">
        <f ca="1">'3Orçto'!W17</f>
        <v>-0.38288</v>
      </c>
      <c r="AB119" s="1047">
        <f ca="1">'3Orçto'!X17</f>
        <v>30856</v>
      </c>
    </row>
    <row r="120" spans="24:28" ht="13.5" thickBot="1">
      <c r="X120" s="981" t="str">
        <f>'3Orçto'!T18</f>
        <v xml:space="preserve">(90) 0+08=08 X </v>
      </c>
      <c r="Y120" s="981">
        <f t="shared" si="4"/>
        <v>8</v>
      </c>
      <c r="Z120" s="1046">
        <f ca="1">'3Orçto'!V18</f>
        <v>3905</v>
      </c>
      <c r="AA120" s="1036">
        <f ca="1">'3Orçto'!W18</f>
        <v>-0.37519999999999998</v>
      </c>
      <c r="AB120" s="1047">
        <f ca="1">'3Orçto'!X18</f>
        <v>31240</v>
      </c>
    </row>
    <row r="121" spans="24:28" ht="13.5" thickBot="1">
      <c r="X121" s="981" t="str">
        <f>'3Orçto'!T19</f>
        <v xml:space="preserve">(90) 0+09=09 X </v>
      </c>
      <c r="Y121" s="981">
        <f t="shared" si="4"/>
        <v>9</v>
      </c>
      <c r="Z121" s="1046">
        <f ca="1">'3Orçto'!V19</f>
        <v>3514</v>
      </c>
      <c r="AA121" s="1036">
        <f ca="1">'3Orçto'!W19</f>
        <v>-0.36748000000000003</v>
      </c>
      <c r="AB121" s="1047">
        <f ca="1">'3Orçto'!X19</f>
        <v>31626</v>
      </c>
    </row>
    <row r="122" spans="24:28" ht="13.5" thickBot="1">
      <c r="X122" s="981" t="str">
        <f>'3Orçto'!T20</f>
        <v xml:space="preserve">(90) 0+10=10 X </v>
      </c>
      <c r="Y122" s="981">
        <f t="shared" si="4"/>
        <v>10</v>
      </c>
      <c r="Z122" s="1046">
        <f ca="1">'3Orçto'!V20</f>
        <v>3202</v>
      </c>
      <c r="AA122" s="1036">
        <f ca="1">'3Orçto'!W20</f>
        <v>-0.35960000000000003</v>
      </c>
      <c r="AB122" s="1047">
        <f ca="1">'3Orçto'!X20</f>
        <v>32020</v>
      </c>
    </row>
    <row r="123" spans="24:28" ht="13.5" thickBot="1">
      <c r="X123" s="981" t="str">
        <f>'3Orçto'!T21</f>
        <v xml:space="preserve">(90) 0+11=11 X </v>
      </c>
      <c r="Y123" s="981">
        <f t="shared" si="4"/>
        <v>11</v>
      </c>
      <c r="Z123" s="1046">
        <f ca="1">'3Orçto'!V21</f>
        <v>2947</v>
      </c>
      <c r="AA123" s="1036">
        <f ca="1">'3Orçto'!W21</f>
        <v>-0.35165999999999997</v>
      </c>
      <c r="AB123" s="1047">
        <f ca="1">'3Orçto'!X21</f>
        <v>32417</v>
      </c>
    </row>
    <row r="124" spans="24:28" ht="13.5" thickBot="1">
      <c r="X124" s="981" t="str">
        <f>'3Orçto'!T22</f>
        <v xml:space="preserve">(90) 0+12=12 X </v>
      </c>
      <c r="Y124" s="981">
        <f t="shared" si="4"/>
        <v>12</v>
      </c>
      <c r="Z124" s="1046">
        <f ca="1">'3Orçto'!V22</f>
        <v>2734</v>
      </c>
      <c r="AA124" s="1036">
        <f ca="1">'3Orçto'!W22</f>
        <v>-0.34384000000000003</v>
      </c>
      <c r="AB124" s="1047">
        <f ca="1">'3Orçto'!X22</f>
        <v>32808</v>
      </c>
    </row>
    <row r="125" spans="24:28" ht="13.5" thickBot="1">
      <c r="X125" s="981" t="str">
        <f>'3Orçto'!T23</f>
        <v xml:space="preserve">(90) 0+13=13 X </v>
      </c>
      <c r="Y125" s="981">
        <f t="shared" si="4"/>
        <v>13</v>
      </c>
      <c r="Z125" s="1046">
        <f ca="1">'3Orçto'!V23</f>
        <v>2555</v>
      </c>
      <c r="AA125" s="1036">
        <f ca="1">'3Orçto'!W23</f>
        <v>-0.3357</v>
      </c>
      <c r="AB125" s="1047">
        <f ca="1">'3Orçto'!X23</f>
        <v>33215</v>
      </c>
    </row>
    <row r="126" spans="24:28" ht="13.5" thickBot="1">
      <c r="X126" s="981" t="str">
        <f>'3Orçto'!T24</f>
        <v xml:space="preserve">(90) 0+14=14 X </v>
      </c>
      <c r="Y126" s="981">
        <f t="shared" si="4"/>
        <v>14</v>
      </c>
      <c r="Z126" s="1046">
        <f ca="1">'3Orçto'!V24</f>
        <v>2401</v>
      </c>
      <c r="AA126" s="1036">
        <f ca="1">'3Orçto'!W24</f>
        <v>-0.32772000000000001</v>
      </c>
      <c r="AB126" s="1047">
        <f ca="1">'3Orçto'!X24</f>
        <v>33614</v>
      </c>
    </row>
    <row r="127" spans="24:28" ht="13.5" thickBot="1">
      <c r="X127" s="981" t="str">
        <f>'3Orçto'!T25</f>
        <v xml:space="preserve">(90) 0+15=15 X </v>
      </c>
      <c r="Y127" s="981">
        <f t="shared" si="4"/>
        <v>15</v>
      </c>
      <c r="Z127" s="1046">
        <f ca="1">'3Orçto'!V25</f>
        <v>2268</v>
      </c>
      <c r="AA127" s="1036">
        <f ca="1">'3Orçto'!W25</f>
        <v>-0.3196</v>
      </c>
      <c r="AB127" s="1047">
        <f ca="1">'3Orçto'!X25</f>
        <v>34020</v>
      </c>
    </row>
    <row r="128" spans="24:28" ht="13.5" thickBot="1">
      <c r="X128" s="981" t="str">
        <f>'3Orçto'!T26</f>
        <v xml:space="preserve">(90) 0+16=16 X </v>
      </c>
      <c r="Y128" s="981">
        <f t="shared" si="4"/>
        <v>16</v>
      </c>
      <c r="Z128" s="1046">
        <f ca="1">'3Orçto'!V26</f>
        <v>2152</v>
      </c>
      <c r="AA128" s="1036">
        <f ca="1">'3Orçto'!W26</f>
        <v>-0.31135999999999997</v>
      </c>
      <c r="AB128" s="1047">
        <f ca="1">'3Orçto'!X26</f>
        <v>34432</v>
      </c>
    </row>
    <row r="129" spans="24:28" ht="13.5" thickBot="1">
      <c r="X129" s="981" t="str">
        <f>'3Orçto'!T27</f>
        <v xml:space="preserve">(90) 0+17=17 X </v>
      </c>
      <c r="Y129" s="981">
        <f t="shared" si="4"/>
        <v>17</v>
      </c>
      <c r="Z129" s="1046">
        <f ca="1">'3Orçto'!V27</f>
        <v>2049</v>
      </c>
      <c r="AA129" s="1036">
        <f ca="1">'3Orçto'!W27</f>
        <v>-0.30334000000000005</v>
      </c>
      <c r="AB129" s="1047">
        <f ca="1">'3Orçto'!X27</f>
        <v>34833</v>
      </c>
    </row>
    <row r="130" spans="24:28" ht="13.5" thickBot="1">
      <c r="X130" s="981" t="str">
        <f>'3Orçto'!T28</f>
        <v xml:space="preserve">(90) 0+18=18 X </v>
      </c>
      <c r="Y130" s="981">
        <f t="shared" si="4"/>
        <v>18</v>
      </c>
      <c r="Z130" s="1046">
        <f ca="1">'3Orçto'!V28</f>
        <v>1959</v>
      </c>
      <c r="AA130" s="1036">
        <f ca="1">'3Orçto'!W28</f>
        <v>-0.29476000000000002</v>
      </c>
      <c r="AB130" s="1047">
        <f ca="1">'3Orçto'!X28</f>
        <v>35262</v>
      </c>
    </row>
    <row r="131" spans="24:28" ht="13.5" thickBot="1">
      <c r="X131" s="981" t="str">
        <f>'3Orçto'!T29</f>
        <v xml:space="preserve">(90) 0+19=19X </v>
      </c>
      <c r="Y131" s="981">
        <f t="shared" si="4"/>
        <v>19</v>
      </c>
      <c r="Z131" s="1046">
        <f ca="1">'3Orçto'!V29</f>
        <v>1878</v>
      </c>
      <c r="AA131" s="1036">
        <f ca="1">'3Orçto'!W29</f>
        <v>-0.28635999999999995</v>
      </c>
      <c r="AB131" s="1047">
        <f ca="1">'3Orçto'!X29</f>
        <v>35682</v>
      </c>
    </row>
    <row r="132" spans="24:28" ht="13.5" thickBot="1">
      <c r="X132" s="981" t="str">
        <f>'3Orçto'!T30</f>
        <v xml:space="preserve">(90) 0+20=20 X </v>
      </c>
      <c r="Y132" s="981">
        <f t="shared" si="4"/>
        <v>20</v>
      </c>
      <c r="Z132" s="1046">
        <f ca="1">'3Orçto'!V30</f>
        <v>1805</v>
      </c>
      <c r="AA132" s="1036">
        <f ca="1">'3Orçto'!W30</f>
        <v>-0.27800000000000002</v>
      </c>
      <c r="AB132" s="1047">
        <f ca="1">'3Orçto'!X30</f>
        <v>36100</v>
      </c>
    </row>
    <row r="133" spans="24:28" ht="13.5" thickBot="1">
      <c r="X133" s="981" t="str">
        <f>'3Orçto'!T31</f>
        <v xml:space="preserve">(90) 0+21=21 X </v>
      </c>
      <c r="Y133" s="981">
        <f t="shared" si="4"/>
        <v>21</v>
      </c>
      <c r="Z133" s="1046">
        <f ca="1">'3Orçto'!V31</f>
        <v>1739</v>
      </c>
      <c r="AA133" s="1036">
        <f ca="1">'3Orçto'!W31</f>
        <v>-0.26961999999999997</v>
      </c>
      <c r="AB133" s="1047">
        <f ca="1">'3Orçto'!X31</f>
        <v>36519</v>
      </c>
    </row>
    <row r="134" spans="24:28" ht="13.5" thickBot="1">
      <c r="X134" s="981" t="str">
        <f>'3Orçto'!T32</f>
        <v xml:space="preserve">(90) 0+22=22 X </v>
      </c>
      <c r="Y134" s="981">
        <f t="shared" si="4"/>
        <v>22</v>
      </c>
      <c r="Z134" s="1046">
        <f ca="1">'3Orçto'!V32</f>
        <v>1680</v>
      </c>
      <c r="AA134" s="1036">
        <f ca="1">'3Orçto'!W32</f>
        <v>-0.26080000000000003</v>
      </c>
      <c r="AB134" s="1047">
        <f ca="1">'3Orçto'!X32</f>
        <v>36960</v>
      </c>
    </row>
    <row r="135" spans="24:28" ht="13.5" thickBot="1">
      <c r="X135" s="981" t="str">
        <f>'3Orçto'!T33</f>
        <v xml:space="preserve">(90) 0+23=23 X </v>
      </c>
      <c r="Y135" s="981">
        <f t="shared" si="4"/>
        <v>23</v>
      </c>
      <c r="Z135" s="1046">
        <f ca="1">'3Orçto'!V33</f>
        <v>1625</v>
      </c>
      <c r="AA135" s="1036">
        <f ca="1">'3Orçto'!W33</f>
        <v>-0.25249999999999995</v>
      </c>
      <c r="AB135" s="1047">
        <f ca="1">'3Orçto'!X33</f>
        <v>37375</v>
      </c>
    </row>
    <row r="136" spans="24:28" ht="13.5" thickBot="1">
      <c r="X136" s="981" t="str">
        <f>'3Orçto'!T34</f>
        <v xml:space="preserve">(90) 0+24=24 X </v>
      </c>
      <c r="Y136" s="981">
        <f t="shared" si="4"/>
        <v>24</v>
      </c>
      <c r="Z136" s="1046">
        <f ca="1">'3Orçto'!V34</f>
        <v>1575</v>
      </c>
      <c r="AA136" s="1036">
        <f ca="1">'3Orçto'!W34</f>
        <v>-0.24399999999999999</v>
      </c>
      <c r="AB136" s="1047">
        <f ca="1">'3Orçto'!X34</f>
        <v>37800</v>
      </c>
    </row>
    <row r="137" spans="24:28" ht="13.5" thickBot="1">
      <c r="X137" s="981" t="str">
        <f>'3Orçto'!T35</f>
        <v xml:space="preserve">(90) 0+25=25 X </v>
      </c>
      <c r="Y137" s="981">
        <f t="shared" si="4"/>
        <v>25</v>
      </c>
      <c r="Z137" s="1046">
        <f ca="1">'3Orçto'!V35</f>
        <v>1530</v>
      </c>
      <c r="AA137" s="1036">
        <f ca="1">'3Orçto'!W35</f>
        <v>-0.23499999999999999</v>
      </c>
      <c r="AB137" s="1047">
        <f ca="1">'3Orçto'!X35</f>
        <v>38250</v>
      </c>
    </row>
    <row r="138" spans="24:28" ht="13.5" thickBot="1">
      <c r="X138" s="981" t="str">
        <f>'3Orçto'!T36</f>
        <v xml:space="preserve">(90) 0+26=26 X </v>
      </c>
      <c r="Y138" s="981">
        <f t="shared" si="4"/>
        <v>26</v>
      </c>
      <c r="Z138" s="1046">
        <f ca="1">'3Orçto'!V36</f>
        <v>1488</v>
      </c>
      <c r="AA138" s="1036">
        <f ca="1">'3Orçto'!W36</f>
        <v>-0.22624</v>
      </c>
      <c r="AB138" s="1047">
        <f ca="1">'3Orçto'!X36</f>
        <v>38688</v>
      </c>
    </row>
    <row r="139" spans="24:28" ht="13.5" thickBot="1">
      <c r="X139" s="981" t="str">
        <f>'3Orçto'!T37</f>
        <v xml:space="preserve">(90) 0+27=27 X </v>
      </c>
      <c r="Y139" s="981">
        <f t="shared" si="4"/>
        <v>27</v>
      </c>
      <c r="Z139" s="1046">
        <f ca="1">'3Orçto'!V37</f>
        <v>1449</v>
      </c>
      <c r="AA139" s="1036">
        <f ca="1">'3Orçto'!W37</f>
        <v>-0.21753999999999996</v>
      </c>
      <c r="AB139" s="1047">
        <f ca="1">'3Orçto'!X37</f>
        <v>39123</v>
      </c>
    </row>
    <row r="140" spans="24:28" ht="13.5" thickBot="1">
      <c r="X140" s="981" t="str">
        <f>'3Orçto'!T38</f>
        <v xml:space="preserve">(90) 0+28=28 X </v>
      </c>
      <c r="Y140" s="981">
        <f t="shared" si="4"/>
        <v>28</v>
      </c>
      <c r="Z140" s="1046">
        <f ca="1">'3Orçto'!V38</f>
        <v>1413</v>
      </c>
      <c r="AA140" s="1036">
        <f ca="1">'3Orçto'!W38</f>
        <v>-0.20872000000000002</v>
      </c>
      <c r="AB140" s="1047">
        <f ca="1">'3Orçto'!X38</f>
        <v>39564</v>
      </c>
    </row>
    <row r="141" spans="24:28" ht="13.5" thickBot="1">
      <c r="X141" s="981" t="str">
        <f>'3Orçto'!T39</f>
        <v xml:space="preserve">(90) 0+29=29 X </v>
      </c>
      <c r="Y141" s="981">
        <f t="shared" si="4"/>
        <v>29</v>
      </c>
      <c r="Z141" s="1046">
        <f ca="1">'3Orçto'!V39</f>
        <v>1380</v>
      </c>
      <c r="AA141" s="1036">
        <f ca="1">'3Orçto'!W39</f>
        <v>-0.1996</v>
      </c>
      <c r="AB141" s="1047">
        <f ca="1">'3Orçto'!X39</f>
        <v>40020</v>
      </c>
    </row>
    <row r="142" spans="24:28" ht="13.5" thickBot="1">
      <c r="X142" s="981" t="str">
        <f>'3Orçto'!T40</f>
        <v xml:space="preserve">(90) 0+30=30 X </v>
      </c>
      <c r="Y142" s="981">
        <f t="shared" si="4"/>
        <v>30</v>
      </c>
      <c r="Z142" s="1046">
        <f ca="1">'3Orçto'!V40</f>
        <v>1349</v>
      </c>
      <c r="AA142" s="1036">
        <f ca="1">'3Orçto'!W40</f>
        <v>-0.19059999999999999</v>
      </c>
      <c r="AB142" s="1047">
        <f ca="1">'3Orçto'!X40</f>
        <v>40470</v>
      </c>
    </row>
    <row r="143" spans="24:28" ht="13.5" thickBot="1">
      <c r="X143" s="981" t="str">
        <f>'3Orçto'!T41</f>
        <v xml:space="preserve">(90) 0+31=31 X </v>
      </c>
      <c r="Y143" s="981">
        <f t="shared" si="4"/>
        <v>31</v>
      </c>
      <c r="Z143" s="1046">
        <f ca="1">'3Orçto'!V41</f>
        <v>1320</v>
      </c>
      <c r="AA143" s="1036">
        <f ca="1">'3Orçto'!W41</f>
        <v>-0.18159999999999998</v>
      </c>
      <c r="AB143" s="1047">
        <f ca="1">'3Orçto'!X41</f>
        <v>40920</v>
      </c>
    </row>
    <row r="144" spans="24:28" ht="13.5" thickBot="1">
      <c r="X144" s="981" t="str">
        <f>'3Orçto'!T42</f>
        <v xml:space="preserve">(90) 0+32=32 X </v>
      </c>
      <c r="Y144" s="981">
        <f t="shared" si="4"/>
        <v>32</v>
      </c>
      <c r="Z144" s="1046">
        <f ca="1">'3Orçto'!V42</f>
        <v>1293</v>
      </c>
      <c r="AA144" s="1036">
        <f ca="1">'3Orçto'!W42</f>
        <v>-0.17247999999999997</v>
      </c>
      <c r="AB144" s="1047">
        <f ca="1">'3Orçto'!X42</f>
        <v>41376</v>
      </c>
    </row>
    <row r="145" spans="24:28" ht="13.5" thickBot="1">
      <c r="X145" s="981" t="str">
        <f>'3Orçto'!T43</f>
        <v xml:space="preserve">(90) 0+33=33 X </v>
      </c>
      <c r="Y145" s="981">
        <f t="shared" si="4"/>
        <v>33</v>
      </c>
      <c r="Z145" s="1046">
        <f ca="1">'3Orçto'!V43</f>
        <v>1268</v>
      </c>
      <c r="AA145" s="1036">
        <f ca="1">'3Orçto'!W43</f>
        <v>-0.16312000000000004</v>
      </c>
      <c r="AB145" s="1047">
        <f ca="1">'3Orçto'!X43</f>
        <v>41844</v>
      </c>
    </row>
    <row r="146" spans="24:28" ht="13.5" thickBot="1">
      <c r="X146" s="981" t="str">
        <f>'3Orçto'!T44</f>
        <v xml:space="preserve">(90) 0+34=34 X </v>
      </c>
      <c r="Y146" s="981">
        <f t="shared" si="4"/>
        <v>34</v>
      </c>
      <c r="Z146" s="1046">
        <f ca="1">'3Orçto'!V44</f>
        <v>1244</v>
      </c>
      <c r="AA146" s="1036">
        <f ca="1">'3Orçto'!W44</f>
        <v>-0.15407999999999999</v>
      </c>
      <c r="AB146" s="1047">
        <f ca="1">'3Orçto'!X44</f>
        <v>42296</v>
      </c>
    </row>
    <row r="147" spans="24:28" ht="13.5" thickBot="1">
      <c r="X147" s="981" t="str">
        <f>'3Orçto'!T45</f>
        <v xml:space="preserve">(90) 0+35=35 X </v>
      </c>
      <c r="Y147" s="981">
        <f t="shared" si="4"/>
        <v>35</v>
      </c>
      <c r="Z147" s="1046">
        <f ca="1">'3Orçto'!V45</f>
        <v>1222</v>
      </c>
      <c r="AA147" s="1036">
        <f ca="1">'3Orçto'!W45</f>
        <v>-0.14459999999999995</v>
      </c>
      <c r="AB147" s="1047">
        <f ca="1">'3Orçto'!X45</f>
        <v>42770</v>
      </c>
    </row>
    <row r="148" spans="24:28" ht="13.5" thickBot="1">
      <c r="X148" s="981" t="str">
        <f>'3Orçto'!T46</f>
        <v xml:space="preserve">(90) 0+36=36 X </v>
      </c>
      <c r="Y148" s="981">
        <f t="shared" si="4"/>
        <v>36</v>
      </c>
      <c r="Z148" s="1046">
        <f ca="1">'3Orçto'!V46</f>
        <v>1201</v>
      </c>
      <c r="AA148" s="1036">
        <f ca="1">'3Orçto'!W46</f>
        <v>-0.13527999999999996</v>
      </c>
      <c r="AB148" s="1047">
        <f ca="1">'3Orçto'!X46</f>
        <v>43236</v>
      </c>
    </row>
  </sheetData>
  <sheetProtection algorithmName="SHA-512" hashValue="OhfHqZsiS66s/+STuEB2cchjMlJcAg9j9lT7h43YsMrvF+L+rBykj0pF7oYd/502J70hQs1Mhk+7r7u+Q0KoVw==" saltValue="Of4v4qYJ3IKjJqYuHENZZg==" spinCount="100000" sheet="1" objects="1" scenarios="1"/>
  <mergeCells count="165">
    <mergeCell ref="C18:D18"/>
    <mergeCell ref="O14:Q14"/>
    <mergeCell ref="H15:I15"/>
    <mergeCell ref="H12:I12"/>
    <mergeCell ref="P22:Q22"/>
    <mergeCell ref="P20:T20"/>
    <mergeCell ref="P21:Q21"/>
    <mergeCell ref="O17:Q17"/>
    <mergeCell ref="O15:Q15"/>
    <mergeCell ref="R15:S15"/>
    <mergeCell ref="H17:I17"/>
    <mergeCell ref="E15:F15"/>
    <mergeCell ref="E16:F16"/>
    <mergeCell ref="C19:D19"/>
    <mergeCell ref="R12:S12"/>
    <mergeCell ref="R17:S17"/>
    <mergeCell ref="O19:Q19"/>
    <mergeCell ref="C14:D14"/>
    <mergeCell ref="A20:C20"/>
    <mergeCell ref="E19:F19"/>
    <mergeCell ref="E17:F17"/>
    <mergeCell ref="C17:D17"/>
    <mergeCell ref="E20:F20"/>
    <mergeCell ref="K26:M26"/>
    <mergeCell ref="K29:M29"/>
    <mergeCell ref="P31:Q31"/>
    <mergeCell ref="P30:Q30"/>
    <mergeCell ref="P25:Q25"/>
    <mergeCell ref="H29:I29"/>
    <mergeCell ref="I54:O54"/>
    <mergeCell ref="I51:O51"/>
    <mergeCell ref="P32:Q32"/>
    <mergeCell ref="P39:Q39"/>
    <mergeCell ref="P37:Q37"/>
    <mergeCell ref="P36:Q36"/>
    <mergeCell ref="N41:O46"/>
    <mergeCell ref="P44:Q44"/>
    <mergeCell ref="P46:Q46"/>
    <mergeCell ref="P38:Q38"/>
    <mergeCell ref="P35:Q35"/>
    <mergeCell ref="K28:M28"/>
    <mergeCell ref="H30:I30"/>
    <mergeCell ref="P27:Q27"/>
    <mergeCell ref="P29:Q29"/>
    <mergeCell ref="P42:Q42"/>
    <mergeCell ref="I55:O55"/>
    <mergeCell ref="D65:E65"/>
    <mergeCell ref="C62:F62"/>
    <mergeCell ref="C63:F63"/>
    <mergeCell ref="C59:D59"/>
    <mergeCell ref="C60:D60"/>
    <mergeCell ref="C61:D61"/>
    <mergeCell ref="E59:F59"/>
    <mergeCell ref="E60:F60"/>
    <mergeCell ref="E61:F61"/>
    <mergeCell ref="G65:R65"/>
    <mergeCell ref="C58:F58"/>
    <mergeCell ref="E32:F32"/>
    <mergeCell ref="C47:D47"/>
    <mergeCell ref="E34:F34"/>
    <mergeCell ref="E39:F39"/>
    <mergeCell ref="C33:D33"/>
    <mergeCell ref="E33:F33"/>
    <mergeCell ref="C42:F42"/>
    <mergeCell ref="C32:D32"/>
    <mergeCell ref="E43:F43"/>
    <mergeCell ref="E35:F35"/>
    <mergeCell ref="E46:F46"/>
    <mergeCell ref="E41:F41"/>
    <mergeCell ref="C39:D39"/>
    <mergeCell ref="E44:F44"/>
    <mergeCell ref="C40:J40"/>
    <mergeCell ref="E36:F36"/>
    <mergeCell ref="E30:F30"/>
    <mergeCell ref="E24:F24"/>
    <mergeCell ref="R18:S18"/>
    <mergeCell ref="R19:S19"/>
    <mergeCell ref="P54:Q54"/>
    <mergeCell ref="E49:F49"/>
    <mergeCell ref="E47:F47"/>
    <mergeCell ref="E48:F48"/>
    <mergeCell ref="S54:T54"/>
    <mergeCell ref="P48:Q48"/>
    <mergeCell ref="P49:Q49"/>
    <mergeCell ref="P53:Q53"/>
    <mergeCell ref="P47:Q47"/>
    <mergeCell ref="P45:Q45"/>
    <mergeCell ref="P26:Q26"/>
    <mergeCell ref="P40:Q40"/>
    <mergeCell ref="P41:Q41"/>
    <mergeCell ref="P43:Q43"/>
    <mergeCell ref="E26:F26"/>
    <mergeCell ref="H32:I32"/>
    <mergeCell ref="H31:I31"/>
    <mergeCell ref="P23:Q23"/>
    <mergeCell ref="P28:Q28"/>
    <mergeCell ref="E45:F45"/>
    <mergeCell ref="A1:D1"/>
    <mergeCell ref="F1:G1"/>
    <mergeCell ref="P4:T4"/>
    <mergeCell ref="E13:F13"/>
    <mergeCell ref="C4:D4"/>
    <mergeCell ref="C31:D31"/>
    <mergeCell ref="C29:D29"/>
    <mergeCell ref="E28:F28"/>
    <mergeCell ref="E27:F27"/>
    <mergeCell ref="E31:F31"/>
    <mergeCell ref="C30:D30"/>
    <mergeCell ref="M4:N4"/>
    <mergeCell ref="I4:L4"/>
    <mergeCell ref="E2:G2"/>
    <mergeCell ref="I2:O2"/>
    <mergeCell ref="P2:T2"/>
    <mergeCell ref="P3:T3"/>
    <mergeCell ref="R13:S13"/>
    <mergeCell ref="R16:S16"/>
    <mergeCell ref="M3:N3"/>
    <mergeCell ref="A3:L3"/>
    <mergeCell ref="R14:S14"/>
    <mergeCell ref="R10:S10"/>
    <mergeCell ref="E23:F23"/>
    <mergeCell ref="E9:F9"/>
    <mergeCell ref="X1:AB1"/>
    <mergeCell ref="E25:F25"/>
    <mergeCell ref="E18:F18"/>
    <mergeCell ref="E21:F21"/>
    <mergeCell ref="E22:F22"/>
    <mergeCell ref="E14:F14"/>
    <mergeCell ref="E7:F7"/>
    <mergeCell ref="O12:Q12"/>
    <mergeCell ref="O13:Q13"/>
    <mergeCell ref="E8:F8"/>
    <mergeCell ref="H14:I14"/>
    <mergeCell ref="H13:I13"/>
    <mergeCell ref="P7:T7"/>
    <mergeCell ref="P5:T5"/>
    <mergeCell ref="M5:O5"/>
    <mergeCell ref="I6:N6"/>
    <mergeCell ref="P6:T6"/>
    <mergeCell ref="K25:M25"/>
    <mergeCell ref="O18:Q18"/>
    <mergeCell ref="A4:B4"/>
    <mergeCell ref="A5:L5"/>
    <mergeCell ref="O10:Q10"/>
    <mergeCell ref="I7:N7"/>
    <mergeCell ref="E11:F11"/>
    <mergeCell ref="E12:F12"/>
    <mergeCell ref="O11:T11"/>
    <mergeCell ref="P34:Q34"/>
    <mergeCell ref="P33:Q33"/>
    <mergeCell ref="E6:F6"/>
    <mergeCell ref="H11:I11"/>
    <mergeCell ref="P24:Q24"/>
    <mergeCell ref="A9:C9"/>
    <mergeCell ref="C15:D15"/>
    <mergeCell ref="C16:D16"/>
    <mergeCell ref="A7:C7"/>
    <mergeCell ref="A8:C8"/>
    <mergeCell ref="P8:T8"/>
    <mergeCell ref="C11:D11"/>
    <mergeCell ref="H16:I16"/>
    <mergeCell ref="O16:Q16"/>
    <mergeCell ref="I8:N8"/>
    <mergeCell ref="C12:D12"/>
    <mergeCell ref="C13:D13"/>
  </mergeCells>
  <printOptions horizontalCentered="1"/>
  <pageMargins left="0.35433070866141736" right="0.31496062992125984" top="0.31496062992125984" bottom="0.55118110236220474" header="0.23622047244094491" footer="0.51181102362204722"/>
  <pageSetup paperSize="9" scale="27" orientation="landscape" horizontalDpi="4294967293" verticalDpi="4294967293"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4">
    <tabColor rgb="FFFFFF00"/>
  </sheetPr>
  <dimension ref="B1:K61"/>
  <sheetViews>
    <sheetView showGridLines="0" topLeftCell="A31" zoomScale="120" zoomScaleNormal="120" workbookViewId="0">
      <selection activeCell="C50" sqref="C50"/>
    </sheetView>
  </sheetViews>
  <sheetFormatPr defaultColWidth="9.1796875" defaultRowHeight="12.5"/>
  <cols>
    <col min="1" max="1" width="0.54296875" style="52" customWidth="1"/>
    <col min="2" max="2" width="14.1796875" style="52" customWidth="1"/>
    <col min="3" max="3" width="25.453125" style="52" customWidth="1"/>
    <col min="4" max="4" width="13.81640625" style="52" customWidth="1"/>
    <col min="5" max="5" width="12.453125" style="52" customWidth="1"/>
    <col min="6" max="6" width="12.7265625" style="52" bestFit="1" customWidth="1"/>
    <col min="7" max="7" width="15.26953125" style="52" customWidth="1"/>
    <col min="8" max="10" width="9.1796875" style="52"/>
    <col min="11" max="11" width="10" style="52" bestFit="1" customWidth="1"/>
    <col min="12" max="16384" width="9.1796875" style="52"/>
  </cols>
  <sheetData>
    <row r="1" spans="2:7" ht="8.25" customHeight="1" thickBot="1"/>
    <row r="2" spans="2:7" ht="18" thickBot="1">
      <c r="B2" s="2062" t="str">
        <f>'0F Lj'!D13</f>
        <v>Nome Fantasia Loja</v>
      </c>
      <c r="C2" s="2063"/>
      <c r="D2" s="2062" t="str">
        <f>'0F Lj'!D12</f>
        <v>Razão Social da Loja</v>
      </c>
      <c r="E2" s="2063"/>
      <c r="F2" s="169" t="s">
        <v>457</v>
      </c>
      <c r="G2" s="170">
        <f ca="1">TODAY()</f>
        <v>46153</v>
      </c>
    </row>
    <row r="3" spans="2:7" ht="9" customHeight="1" thickBot="1">
      <c r="B3" s="171"/>
      <c r="C3" s="172"/>
      <c r="D3" s="173"/>
      <c r="E3" s="174"/>
      <c r="F3" s="173"/>
      <c r="G3" s="175"/>
    </row>
    <row r="4" spans="2:7" ht="19.5" customHeight="1" thickBot="1">
      <c r="B4" s="2082" t="s">
        <v>471</v>
      </c>
      <c r="C4" s="2083"/>
      <c r="D4" s="2089" t="str">
        <f>'1FComprador'!E9</f>
        <v>Vendedor(a) Projetista : Vendedor 1</v>
      </c>
      <c r="E4" s="2090"/>
      <c r="F4" s="167" t="s">
        <v>473</v>
      </c>
      <c r="G4" s="168" t="str">
        <f>'1FComprador'!K5</f>
        <v>DG-0625-01</v>
      </c>
    </row>
    <row r="5" spans="2:7" ht="5.25" customHeight="1" thickBot="1">
      <c r="B5" s="171"/>
      <c r="C5" s="172"/>
      <c r="D5" s="173"/>
      <c r="E5" s="173"/>
      <c r="F5" s="173"/>
      <c r="G5" s="175"/>
    </row>
    <row r="6" spans="2:7" ht="15.75" customHeight="1">
      <c r="B6" s="2080" t="str">
        <f>'3Orçto'!T4</f>
        <v>Cl i e n t e</v>
      </c>
      <c r="C6" s="2081"/>
      <c r="D6" s="2070" t="str">
        <f>IF('1FComprador'!D12:I12&lt;&gt;"",'1FComprador'!D12,"")</f>
        <v/>
      </c>
      <c r="E6" s="2070"/>
      <c r="F6" s="2071"/>
      <c r="G6" s="176" t="s">
        <v>474</v>
      </c>
    </row>
    <row r="7" spans="2:7" ht="15.5">
      <c r="B7" s="177" t="s">
        <v>46</v>
      </c>
      <c r="C7" s="178" t="str">
        <f>'3Orçto'!T5&amp;" / Modelo"</f>
        <v>Fábrica / Modelo</v>
      </c>
      <c r="D7" s="2084" t="str">
        <f>'0F Lj'!D15</f>
        <v>Nome Fantasia</v>
      </c>
      <c r="E7" s="2085"/>
      <c r="F7" s="958" t="str">
        <f>'1FComprador'!K40</f>
        <v xml:space="preserve"> Gold</v>
      </c>
      <c r="G7" s="179">
        <f ca="1">'4Contrato Compra'!K69</f>
        <v>46153</v>
      </c>
    </row>
    <row r="8" spans="2:7" ht="15.5">
      <c r="B8" s="858" t="s">
        <v>475</v>
      </c>
      <c r="C8" s="859" t="str">
        <f>'3Orçto'!T6</f>
        <v>Material</v>
      </c>
      <c r="D8" s="857" t="str">
        <f>'1FComprador'!C40</f>
        <v xml:space="preserve"> </v>
      </c>
      <c r="E8" s="856" t="str">
        <f>'1FComprador'!E40</f>
        <v xml:space="preserve"> </v>
      </c>
      <c r="F8" s="856" t="str">
        <f>'1FComprador'!G40</f>
        <v xml:space="preserve"> </v>
      </c>
      <c r="G8" s="180" t="s">
        <v>476</v>
      </c>
    </row>
    <row r="9" spans="2:7" ht="13" thickBot="1">
      <c r="B9" s="858" t="s">
        <v>896</v>
      </c>
      <c r="C9" s="2086" t="str">
        <f>'1FComprador'!C47&amp;", "&amp;'1FComprador'!C48&amp;", "&amp;'1FComprador'!C49&amp;", "&amp;'1FComprador'!C50&amp;", "&amp;'1FComprador'!C51&amp;"," &amp;'1FComprador'!C52</f>
        <v xml:space="preserve">Banheiro Social, Banheiro Suite, Cozinha e Lavanderia, Sala com Estante Metalon,   ,  </v>
      </c>
      <c r="D9" s="2087"/>
      <c r="E9" s="2087"/>
      <c r="F9" s="2088"/>
      <c r="G9" s="665" t="str">
        <f>'3Orçto'!R3</f>
        <v>até 40 dias úteis</v>
      </c>
    </row>
    <row r="10" spans="2:7" ht="16" thickBot="1">
      <c r="B10" s="181" t="s">
        <v>477</v>
      </c>
      <c r="C10" s="860" t="s">
        <v>478</v>
      </c>
      <c r="D10" s="2072" t="s">
        <v>479</v>
      </c>
      <c r="E10" s="2073"/>
      <c r="F10" s="182" t="s">
        <v>480</v>
      </c>
      <c r="G10" s="183" t="s">
        <v>481</v>
      </c>
    </row>
    <row r="11" spans="2:7" ht="6" customHeight="1" thickBot="1">
      <c r="B11" s="184"/>
      <c r="C11" s="185"/>
      <c r="D11" s="186"/>
      <c r="E11" s="186"/>
      <c r="F11" s="186"/>
      <c r="G11" s="187"/>
    </row>
    <row r="12" spans="2:7" ht="12.75" customHeight="1" thickBot="1">
      <c r="B12" s="2077" t="s">
        <v>482</v>
      </c>
      <c r="C12" s="2078"/>
      <c r="D12" s="2078"/>
      <c r="E12" s="2078"/>
      <c r="F12" s="2078"/>
      <c r="G12" s="2079"/>
    </row>
    <row r="13" spans="2:7" ht="15.5">
      <c r="B13" s="2064" t="s">
        <v>483</v>
      </c>
      <c r="C13" s="2065"/>
      <c r="D13" s="2066"/>
      <c r="E13" s="188" t="s">
        <v>484</v>
      </c>
      <c r="F13" s="188" t="s">
        <v>485</v>
      </c>
      <c r="G13" s="189" t="s">
        <v>486</v>
      </c>
    </row>
    <row r="14" spans="2:7" ht="15.5">
      <c r="B14" s="190" t="s">
        <v>487</v>
      </c>
      <c r="C14" s="191" t="s">
        <v>488</v>
      </c>
      <c r="D14" s="751">
        <v>1</v>
      </c>
      <c r="E14" s="192">
        <f>'3Orçto'!G7</f>
        <v>50000</v>
      </c>
      <c r="F14" s="192"/>
      <c r="G14" s="193">
        <f>E14-F14</f>
        <v>50000</v>
      </c>
    </row>
    <row r="15" spans="2:7" ht="15.5">
      <c r="B15" s="190" t="s">
        <v>489</v>
      </c>
      <c r="C15" s="191" t="s">
        <v>490</v>
      </c>
      <c r="D15" s="751">
        <f>'3Orçto'!R7</f>
        <v>0.47</v>
      </c>
      <c r="E15" s="192"/>
      <c r="F15" s="192">
        <f>'3Orçto'!G5-'3Orçto'!D7</f>
        <v>23500</v>
      </c>
      <c r="G15" s="193">
        <f>G14+E15-F15</f>
        <v>26500</v>
      </c>
    </row>
    <row r="16" spans="2:7" ht="15.5">
      <c r="B16" s="190" t="s">
        <v>491</v>
      </c>
      <c r="C16" s="320" t="s">
        <v>492</v>
      </c>
      <c r="D16" s="752">
        <f>D14-D15</f>
        <v>0.53</v>
      </c>
      <c r="E16" s="321"/>
      <c r="F16" s="321">
        <f>'3Orçto'!D7</f>
        <v>26500</v>
      </c>
      <c r="G16" s="322">
        <f>G15</f>
        <v>26500</v>
      </c>
    </row>
    <row r="17" spans="2:11" ht="15.5">
      <c r="B17" s="190" t="s">
        <v>493</v>
      </c>
      <c r="C17" s="320" t="s">
        <v>494</v>
      </c>
      <c r="D17" s="752">
        <f>'14 Pers.'!R23</f>
        <v>0</v>
      </c>
      <c r="E17" s="321"/>
      <c r="F17" s="321">
        <f>'14 Pers.'!T23</f>
        <v>0</v>
      </c>
      <c r="G17" s="322">
        <f>G16+E17-F17</f>
        <v>26500</v>
      </c>
    </row>
    <row r="18" spans="2:11" ht="15.5">
      <c r="B18" s="194" t="s">
        <v>495</v>
      </c>
      <c r="C18" s="320" t="s">
        <v>496</v>
      </c>
      <c r="D18" s="752">
        <f ca="1">E18/E14</f>
        <v>0.60807999999999995</v>
      </c>
      <c r="E18" s="321">
        <f ca="1">'3Orçto'!V8</f>
        <v>30404</v>
      </c>
      <c r="F18" s="323"/>
      <c r="G18" s="322">
        <f ca="1">E18</f>
        <v>30404</v>
      </c>
    </row>
    <row r="19" spans="2:11" ht="16" thickBot="1">
      <c r="B19" s="195" t="s">
        <v>217</v>
      </c>
      <c r="C19" s="324" t="s">
        <v>497</v>
      </c>
      <c r="D19" s="753">
        <f ca="1">SUM((G18/G16))-100%</f>
        <v>0.14732075471698103</v>
      </c>
      <c r="E19" s="325"/>
      <c r="F19" s="325">
        <f ca="1">E18-F16</f>
        <v>3904</v>
      </c>
      <c r="G19" s="326">
        <f ca="1">F19</f>
        <v>3904</v>
      </c>
    </row>
    <row r="20" spans="2:11" ht="9.75" customHeight="1" thickBot="1">
      <c r="B20" s="184"/>
      <c r="C20" s="2074"/>
      <c r="D20" s="2075"/>
      <c r="E20" s="2075"/>
      <c r="F20" s="2075"/>
      <c r="G20" s="2076"/>
    </row>
    <row r="21" spans="2:11" ht="13.5" customHeight="1" thickBot="1">
      <c r="B21" s="2067" t="s">
        <v>498</v>
      </c>
      <c r="C21" s="2068"/>
      <c r="D21" s="2068"/>
      <c r="E21" s="2068"/>
      <c r="F21" s="2068"/>
      <c r="G21" s="2069"/>
    </row>
    <row r="22" spans="2:11" ht="16" thickBot="1">
      <c r="B22" s="2059" t="s">
        <v>483</v>
      </c>
      <c r="C22" s="2060"/>
      <c r="D22" s="2061"/>
      <c r="E22" s="196" t="s">
        <v>484</v>
      </c>
      <c r="F22" s="196" t="s">
        <v>485</v>
      </c>
      <c r="G22" s="197" t="s">
        <v>486</v>
      </c>
    </row>
    <row r="23" spans="2:11" ht="15.5">
      <c r="B23" s="198" t="s">
        <v>495</v>
      </c>
      <c r="C23" s="199" t="s">
        <v>496</v>
      </c>
      <c r="D23" s="754">
        <v>1</v>
      </c>
      <c r="E23" s="200">
        <f ca="1">E18</f>
        <v>30404</v>
      </c>
      <c r="F23" s="201"/>
      <c r="G23" s="202">
        <f ca="1">E23</f>
        <v>30404</v>
      </c>
    </row>
    <row r="24" spans="2:11" ht="15.5">
      <c r="B24" s="203" t="s">
        <v>217</v>
      </c>
      <c r="C24" s="204" t="s">
        <v>497</v>
      </c>
      <c r="D24" s="755">
        <f ca="1">D19</f>
        <v>0.14732075471698103</v>
      </c>
      <c r="E24" s="205"/>
      <c r="F24" s="206">
        <f ca="1">F19</f>
        <v>3904</v>
      </c>
      <c r="G24" s="207">
        <f t="shared" ref="G24:G47" ca="1" si="0">G23+E24-F24</f>
        <v>26500</v>
      </c>
    </row>
    <row r="25" spans="2:11" ht="15.5">
      <c r="B25" s="203" t="s">
        <v>499</v>
      </c>
      <c r="C25" s="210" t="str">
        <f>'3Orçto'!M4</f>
        <v>RT Led</v>
      </c>
      <c r="D25" s="756">
        <f>'14 Pers.'!R23</f>
        <v>0</v>
      </c>
      <c r="E25" s="209"/>
      <c r="F25" s="209">
        <f>'14 Pers.'!T23</f>
        <v>0</v>
      </c>
      <c r="G25" s="207">
        <f t="shared" ca="1" si="0"/>
        <v>26500</v>
      </c>
    </row>
    <row r="26" spans="2:11" ht="15.5">
      <c r="B26" s="211" t="str">
        <f>'1FComprador'!$B$9</f>
        <v>Vendedor 1</v>
      </c>
      <c r="C26" s="210" t="str">
        <f>'14 Pers.'!V26</f>
        <v>Comissão do Projeto</v>
      </c>
      <c r="D26" s="756">
        <f>'9PG Projetista'!C12</f>
        <v>6.2350000000000003E-2</v>
      </c>
      <c r="E26" s="209"/>
      <c r="F26" s="209">
        <f>'9PG Projetista'!D12</f>
        <v>1653</v>
      </c>
      <c r="G26" s="207">
        <f t="shared" ca="1" si="0"/>
        <v>24847</v>
      </c>
    </row>
    <row r="27" spans="2:11" ht="15.5">
      <c r="B27" s="211" t="str">
        <f>'1FComprador'!$B$9</f>
        <v>Vendedor 1</v>
      </c>
      <c r="C27" s="210" t="str">
        <f>'14 Pers.'!V27</f>
        <v>comissão Férias + 1/3</v>
      </c>
      <c r="D27" s="756">
        <f>'9PG Projetista'!C13</f>
        <v>5.8888888888888888E-3</v>
      </c>
      <c r="E27" s="209"/>
      <c r="F27" s="209">
        <f>'9PG Projetista'!D13</f>
        <v>184</v>
      </c>
      <c r="G27" s="207">
        <f t="shared" ca="1" si="0"/>
        <v>24663</v>
      </c>
      <c r="K27" s="750"/>
    </row>
    <row r="28" spans="2:11" ht="15.5">
      <c r="B28" s="211" t="str">
        <f>'1FComprador'!$B$9</f>
        <v>Vendedor 1</v>
      </c>
      <c r="C28" s="210" t="str">
        <f>'14 Pers.'!V28</f>
        <v>13º (1/12" da comissão)</v>
      </c>
      <c r="D28" s="756">
        <f>'9PG Projetista'!C14</f>
        <v>4.4166666666666668E-3</v>
      </c>
      <c r="E28" s="209"/>
      <c r="F28" s="209">
        <f>'9PG Projetista'!D14</f>
        <v>138</v>
      </c>
      <c r="G28" s="207">
        <f t="shared" ca="1" si="0"/>
        <v>24525</v>
      </c>
    </row>
    <row r="29" spans="2:11" ht="15.5">
      <c r="B29" s="211" t="str">
        <f>'1FComprador'!$B$9</f>
        <v>Vendedor 1</v>
      </c>
      <c r="C29" s="876" t="str">
        <f>'14 Pers.'!V29</f>
        <v>FGTS 8º do Total da Comissão</v>
      </c>
      <c r="D29" s="756">
        <f>'9PG Projetista'!C15</f>
        <v>5.9622641509433959E-3</v>
      </c>
      <c r="E29" s="209"/>
      <c r="F29" s="209">
        <f>'9PG Projetista'!D15</f>
        <v>158</v>
      </c>
      <c r="G29" s="207">
        <f t="shared" ca="1" si="0"/>
        <v>24367</v>
      </c>
    </row>
    <row r="30" spans="2:11" ht="15.5">
      <c r="B30" s="213" t="s">
        <v>500</v>
      </c>
      <c r="C30" s="878">
        <f>'9PG Projetista'!D30</f>
        <v>2133</v>
      </c>
      <c r="D30" s="877"/>
      <c r="E30" s="209"/>
      <c r="F30" s="209"/>
      <c r="G30" s="207">
        <f t="shared" ca="1" si="0"/>
        <v>24367</v>
      </c>
    </row>
    <row r="31" spans="2:11" ht="15.5">
      <c r="B31" s="905" t="s">
        <v>899</v>
      </c>
      <c r="C31" s="906">
        <f>'9PG Projetista'!C30</f>
        <v>7.8617819706498948E-2</v>
      </c>
      <c r="D31" s="756"/>
      <c r="E31" s="209"/>
      <c r="F31" s="209"/>
      <c r="G31" s="207"/>
    </row>
    <row r="32" spans="2:11" ht="15.5">
      <c r="B32" s="203" t="s">
        <v>875</v>
      </c>
      <c r="C32" s="208" t="str">
        <f>'14 Pers.'!P22</f>
        <v>Custo de Fábricas</v>
      </c>
      <c r="D32" s="756">
        <f>'14 Pers.'!R22</f>
        <v>0.37735849056603776</v>
      </c>
      <c r="E32" s="209"/>
      <c r="F32" s="209">
        <f>'14 Pers.'!T22</f>
        <v>10000</v>
      </c>
      <c r="G32" s="207">
        <f ca="1">G30+E32-F32</f>
        <v>14367</v>
      </c>
    </row>
    <row r="33" spans="2:7" ht="15.5">
      <c r="B33" s="203" t="s">
        <v>501</v>
      </c>
      <c r="C33" s="208" t="str">
        <f>'0F Lj'!B51</f>
        <v>Transporte Rio Extra</v>
      </c>
      <c r="D33" s="756">
        <v>0</v>
      </c>
      <c r="E33" s="214"/>
      <c r="F33" s="209">
        <f>'14 Pers.'!$T24</f>
        <v>0</v>
      </c>
      <c r="G33" s="207">
        <f t="shared" ca="1" si="0"/>
        <v>14367</v>
      </c>
    </row>
    <row r="34" spans="2:7" ht="15.5">
      <c r="B34" s="203" t="s">
        <v>503</v>
      </c>
      <c r="C34" s="208" t="str">
        <f>'0F Lj'!B52</f>
        <v xml:space="preserve"> Competenza  </v>
      </c>
      <c r="D34" s="756">
        <f>'14 Pers.'!R25</f>
        <v>0.19670000000000001</v>
      </c>
      <c r="E34" s="214"/>
      <c r="F34" s="209">
        <f>'14 Pers.'!$T25</f>
        <v>1967.0000000000002</v>
      </c>
      <c r="G34" s="212">
        <f t="shared" ca="1" si="0"/>
        <v>12400</v>
      </c>
    </row>
    <row r="35" spans="2:7" ht="15.5">
      <c r="B35" s="211" t="s">
        <v>504</v>
      </c>
      <c r="C35" s="210" t="str">
        <f>'11PG Montador'!C5</f>
        <v>montador 1</v>
      </c>
      <c r="D35" s="756">
        <f>'11PG Montador'!C28</f>
        <v>0.1</v>
      </c>
      <c r="E35" s="214"/>
      <c r="F35" s="209">
        <f>'11PG Montador'!D28</f>
        <v>2650</v>
      </c>
      <c r="G35" s="212">
        <f t="shared" ca="1" si="0"/>
        <v>9750</v>
      </c>
    </row>
    <row r="36" spans="2:7" ht="15.5">
      <c r="B36" s="203" t="s">
        <v>871</v>
      </c>
      <c r="C36" s="215" t="str">
        <f>'0F Lj'!B55</f>
        <v>Outros</v>
      </c>
      <c r="D36" s="756">
        <f>'14 Pers.'!R32</f>
        <v>0</v>
      </c>
      <c r="E36" s="214"/>
      <c r="F36" s="209">
        <f>'14 Pers.'!T32</f>
        <v>0</v>
      </c>
      <c r="G36" s="212">
        <f t="shared" ca="1" si="0"/>
        <v>9750</v>
      </c>
    </row>
    <row r="37" spans="2:7" ht="15.5">
      <c r="B37" s="203" t="s">
        <v>871</v>
      </c>
      <c r="C37" s="215" t="str">
        <f>'0F Lj'!B56</f>
        <v>Gestão valor de Compra</v>
      </c>
      <c r="D37" s="756">
        <f>'14 Pers.'!R33</f>
        <v>0</v>
      </c>
      <c r="E37" s="214"/>
      <c r="F37" s="209">
        <f>'14 Pers.'!T33</f>
        <v>0</v>
      </c>
      <c r="G37" s="212">
        <f t="shared" ca="1" si="0"/>
        <v>9750</v>
      </c>
    </row>
    <row r="38" spans="2:7" ht="15.5">
      <c r="B38" s="749" t="s">
        <v>872</v>
      </c>
      <c r="C38" s="208" t="str">
        <f>'0F Lj'!G51</f>
        <v>Gerente</v>
      </c>
      <c r="D38" s="756">
        <f>'14 Pers.'!$R32</f>
        <v>0</v>
      </c>
      <c r="E38" s="214"/>
      <c r="F38" s="209">
        <f>'14 Pers.'!$T32</f>
        <v>0</v>
      </c>
      <c r="G38" s="212">
        <f t="shared" ca="1" si="0"/>
        <v>9750</v>
      </c>
    </row>
    <row r="39" spans="2:7" ht="15.5">
      <c r="B39" s="749" t="s">
        <v>872</v>
      </c>
      <c r="C39" s="208" t="str">
        <f>'0F Lj'!G52</f>
        <v>Supervisor</v>
      </c>
      <c r="D39" s="756">
        <f>'14 Pers.'!$R33</f>
        <v>0</v>
      </c>
      <c r="E39" s="214"/>
      <c r="F39" s="209">
        <f>'14 Pers.'!$T33</f>
        <v>0</v>
      </c>
      <c r="G39" s="212">
        <f t="shared" ca="1" si="0"/>
        <v>9750</v>
      </c>
    </row>
    <row r="40" spans="2:7" ht="15.5">
      <c r="B40" s="749" t="s">
        <v>872</v>
      </c>
      <c r="C40" s="884" t="str">
        <f>'0F Lj'!G53</f>
        <v>Executivo "Conferente" de montagem</v>
      </c>
      <c r="D40" s="756">
        <f>'14 Pers.'!$R36</f>
        <v>0</v>
      </c>
      <c r="E40" s="214"/>
      <c r="F40" s="209">
        <f>'14 Pers.'!$T36</f>
        <v>0</v>
      </c>
      <c r="G40" s="212">
        <f t="shared" ca="1" si="0"/>
        <v>9750</v>
      </c>
    </row>
    <row r="41" spans="2:7" ht="15.5">
      <c r="B41" s="749" t="s">
        <v>872</v>
      </c>
      <c r="C41" s="208" t="str">
        <f>'0F Lj'!G54</f>
        <v xml:space="preserve">Diversos </v>
      </c>
      <c r="D41" s="756">
        <f>'14 Pers.'!$R37</f>
        <v>0.02</v>
      </c>
      <c r="E41" s="214"/>
      <c r="F41" s="209">
        <f>'14 Pers.'!$T37</f>
        <v>530</v>
      </c>
      <c r="G41" s="212">
        <f t="shared" ca="1" si="0"/>
        <v>9220</v>
      </c>
    </row>
    <row r="42" spans="2:7" ht="15.5">
      <c r="B42" s="749" t="s">
        <v>872</v>
      </c>
      <c r="C42" s="208" t="str">
        <f>'0F Lj'!G55</f>
        <v>Prêmio Fabrica</v>
      </c>
      <c r="D42" s="756">
        <f>'14 Pers.'!$R38</f>
        <v>0.03</v>
      </c>
      <c r="E42" s="214"/>
      <c r="F42" s="209">
        <f>'14 Pers.'!$T38</f>
        <v>795</v>
      </c>
      <c r="G42" s="212">
        <f t="shared" ca="1" si="0"/>
        <v>8425</v>
      </c>
    </row>
    <row r="43" spans="2:7" ht="15.5">
      <c r="B43" s="749" t="s">
        <v>872</v>
      </c>
      <c r="C43" s="208" t="str">
        <f>'0F Lj'!G56</f>
        <v>Impostos N. Fiscal</v>
      </c>
      <c r="D43" s="756">
        <f>'14 Pers.'!$R39</f>
        <v>0</v>
      </c>
      <c r="E43" s="214"/>
      <c r="F43" s="209">
        <f>'14 Pers.'!$T39</f>
        <v>0</v>
      </c>
      <c r="G43" s="212">
        <f t="shared" ca="1" si="0"/>
        <v>8425</v>
      </c>
    </row>
    <row r="44" spans="2:7" ht="15.5">
      <c r="B44" s="749" t="s">
        <v>872</v>
      </c>
      <c r="C44" s="208" t="str">
        <f>'0F Lj'!G57</f>
        <v>Franquia</v>
      </c>
      <c r="D44" s="756">
        <f>'14 Pers.'!$R40</f>
        <v>0</v>
      </c>
      <c r="E44" s="214"/>
      <c r="F44" s="209">
        <f>'14 Pers.'!$T40</f>
        <v>0</v>
      </c>
      <c r="G44" s="212">
        <f t="shared" ca="1" si="0"/>
        <v>8425</v>
      </c>
    </row>
    <row r="45" spans="2:7" ht="15.5">
      <c r="B45" s="904">
        <f>'14 Pers.'!R19</f>
        <v>26500</v>
      </c>
      <c r="C45" s="208" t="str">
        <f>'3Orçto'!F6</f>
        <v>Preço Extras</v>
      </c>
      <c r="D45" s="756">
        <f>SUM(F45*1)/B45</f>
        <v>0</v>
      </c>
      <c r="E45" s="214"/>
      <c r="F45" s="209">
        <f>'3Orçto'!$G$6</f>
        <v>0</v>
      </c>
      <c r="G45" s="212">
        <f t="shared" ca="1" si="0"/>
        <v>8425</v>
      </c>
    </row>
    <row r="46" spans="2:7" ht="15.5">
      <c r="B46" s="962" t="s">
        <v>912</v>
      </c>
      <c r="C46" s="963">
        <f>C51-C52</f>
        <v>0</v>
      </c>
      <c r="D46" s="756"/>
      <c r="E46" s="964">
        <f>IF(C51&lt;C52,C53,0)</f>
        <v>0</v>
      </c>
      <c r="F46" s="964">
        <f>IF(C51&gt;C52,C46,0)</f>
        <v>0</v>
      </c>
      <c r="G46" s="212">
        <f t="shared" ca="1" si="0"/>
        <v>8425</v>
      </c>
    </row>
    <row r="47" spans="2:7" ht="15.5">
      <c r="B47" s="319" t="s">
        <v>971</v>
      </c>
      <c r="C47" s="961">
        <v>9000</v>
      </c>
      <c r="D47" s="758"/>
      <c r="E47" s="740"/>
      <c r="F47" s="740"/>
      <c r="G47" s="212">
        <f t="shared" ca="1" si="0"/>
        <v>8425</v>
      </c>
    </row>
    <row r="48" spans="2:7" ht="15.5">
      <c r="B48" s="319" t="s">
        <v>972</v>
      </c>
      <c r="C48" s="961">
        <v>500</v>
      </c>
      <c r="D48" s="758"/>
      <c r="E48" s="740"/>
      <c r="F48" s="740"/>
      <c r="G48" s="212"/>
    </row>
    <row r="49" spans="2:7" ht="15.5">
      <c r="B49" s="319" t="s">
        <v>973</v>
      </c>
      <c r="C49" s="961">
        <v>500</v>
      </c>
      <c r="D49" s="758"/>
      <c r="E49" s="740"/>
      <c r="F49" s="740"/>
      <c r="G49" s="212"/>
    </row>
    <row r="50" spans="2:7" ht="15.5">
      <c r="B50" s="319" t="s">
        <v>879</v>
      </c>
      <c r="C50" s="961">
        <v>0</v>
      </c>
      <c r="D50" s="758"/>
      <c r="E50" s="740"/>
      <c r="F50" s="740"/>
      <c r="G50" s="212"/>
    </row>
    <row r="51" spans="2:7" ht="15.5">
      <c r="B51" s="319" t="s">
        <v>505</v>
      </c>
      <c r="C51" s="739">
        <f>SUM(C47:C50)</f>
        <v>10000</v>
      </c>
      <c r="D51" s="907"/>
      <c r="E51" s="740"/>
      <c r="F51" s="740"/>
      <c r="G51" s="212"/>
    </row>
    <row r="52" spans="2:7" ht="15.5">
      <c r="B52" s="871" t="s">
        <v>506</v>
      </c>
      <c r="C52" s="960">
        <f>'3Orçto'!R4</f>
        <v>10000</v>
      </c>
      <c r="D52" s="757"/>
      <c r="E52" s="214"/>
      <c r="F52" s="214"/>
      <c r="G52" s="760">
        <f ca="1">G47+E52+F52</f>
        <v>8425</v>
      </c>
    </row>
    <row r="53" spans="2:7" ht="15.5">
      <c r="B53" s="872" t="s">
        <v>880</v>
      </c>
      <c r="C53" s="331">
        <f>C52-C51</f>
        <v>0</v>
      </c>
      <c r="D53" s="759">
        <f>C51*100/F16/100</f>
        <v>0.37735849056603776</v>
      </c>
      <c r="E53" s="331"/>
      <c r="F53" s="331"/>
      <c r="G53" s="761">
        <f ca="1">G52+E53+F53</f>
        <v>8425</v>
      </c>
    </row>
    <row r="54" spans="2:7" ht="16" thickBot="1">
      <c r="B54" s="2091" t="str">
        <f>IF(C51&lt;=C52,"A compra menor ou igual a que vendeu - Boa venda.","A compra maior que vendeu - Veja o que aconteceu.")</f>
        <v>A compra menor ou igual a que vendeu - Boa venda.</v>
      </c>
      <c r="C54" s="2092"/>
      <c r="D54" s="740"/>
      <c r="E54" s="740"/>
      <c r="F54" s="740"/>
      <c r="G54" s="212">
        <f t="shared" ref="G54" ca="1" si="1">G53+E54-F54</f>
        <v>8425</v>
      </c>
    </row>
    <row r="55" spans="2:7" ht="16" thickBot="1">
      <c r="B55" s="2093" t="s">
        <v>507</v>
      </c>
      <c r="C55" s="2094"/>
      <c r="D55" s="314">
        <f ca="1">SUM(G55*1)/E55</f>
        <v>0.27710169714511246</v>
      </c>
      <c r="E55" s="313">
        <f ca="1">ROUNDUP(SUM(E23:E54),0)</f>
        <v>30404</v>
      </c>
      <c r="F55" s="311">
        <f ca="1">ROUNDUP(SUM(F23:F54),0)</f>
        <v>21979</v>
      </c>
      <c r="G55" s="312">
        <f ca="1">G54</f>
        <v>8425</v>
      </c>
    </row>
    <row r="56" spans="2:7" ht="16" thickBot="1">
      <c r="B56" s="2095" t="s">
        <v>913</v>
      </c>
      <c r="C56" s="2096"/>
      <c r="D56" s="310">
        <f ca="1">SUM(G55*1)/E55-D41-D42</f>
        <v>0.22710169714511244</v>
      </c>
      <c r="E56" s="2097" t="s">
        <v>914</v>
      </c>
      <c r="F56" s="2098"/>
      <c r="G56" s="725">
        <f ca="1">G55-F41-F42</f>
        <v>7100</v>
      </c>
    </row>
    <row r="57" spans="2:7" s="216" customFormat="1" ht="12.75" customHeight="1">
      <c r="B57" s="2099" t="s">
        <v>508</v>
      </c>
      <c r="C57" s="2099"/>
      <c r="D57" s="54" t="s">
        <v>121</v>
      </c>
      <c r="E57" s="2100" t="str">
        <f>'0F Lj'!D80</f>
        <v xml:space="preserve"> Sistema ByDesigner Desenvolvido Neri (21) 97014-2420</v>
      </c>
      <c r="F57" s="2100"/>
      <c r="G57" s="2100"/>
    </row>
    <row r="61" spans="2:7">
      <c r="G61" s="750"/>
    </row>
  </sheetData>
  <sheetProtection algorithmName="SHA-512" hashValue="3q8Ot5Ndrh5cqhEuuC45lwkeQ0lgbQQlmata6NWQm0G9xDXnGLGpBNZZeMeTIzCJSApyUp247ppU8PJRFAPjTA==" saltValue="PBLiMsvVD0qBL/TmXFfzOQ==" spinCount="100000" sheet="1" objects="1" scenarios="1"/>
  <mergeCells count="20">
    <mergeCell ref="B54:C54"/>
    <mergeCell ref="B55:C55"/>
    <mergeCell ref="B56:C56"/>
    <mergeCell ref="E56:F56"/>
    <mergeCell ref="B57:C57"/>
    <mergeCell ref="E57:G57"/>
    <mergeCell ref="B22:D22"/>
    <mergeCell ref="D2:E2"/>
    <mergeCell ref="B2:C2"/>
    <mergeCell ref="B13:D13"/>
    <mergeCell ref="B21:G21"/>
    <mergeCell ref="D6:F6"/>
    <mergeCell ref="D10:E10"/>
    <mergeCell ref="C20:G20"/>
    <mergeCell ref="B12:G12"/>
    <mergeCell ref="B6:C6"/>
    <mergeCell ref="B4:C4"/>
    <mergeCell ref="D7:E7"/>
    <mergeCell ref="C9:F9"/>
    <mergeCell ref="D4:E4"/>
  </mergeCells>
  <conditionalFormatting sqref="C53">
    <cfRule type="expression" dxfId="2" priority="1">
      <formula>C53&lt;0</formula>
    </cfRule>
  </conditionalFormatting>
  <conditionalFormatting sqref="E53:F53">
    <cfRule type="expression" dxfId="1" priority="2">
      <formula>E53&lt;0</formula>
    </cfRule>
  </conditionalFormatting>
  <printOptions horizontalCentered="1" verticalCentered="1"/>
  <pageMargins left="0" right="0" top="0.39370078740157483" bottom="0.3937007874015748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5">
    <tabColor rgb="FFFFFF00"/>
  </sheetPr>
  <dimension ref="B1:I53"/>
  <sheetViews>
    <sheetView showGridLines="0" zoomScale="120" zoomScaleNormal="120" workbookViewId="0">
      <selection activeCell="C13" sqref="C13"/>
    </sheetView>
  </sheetViews>
  <sheetFormatPr defaultColWidth="9.1796875" defaultRowHeight="12.5"/>
  <cols>
    <col min="1" max="1" width="1.1796875" style="52" customWidth="1"/>
    <col min="2" max="2" width="32.7265625" style="52" bestFit="1" customWidth="1"/>
    <col min="3" max="3" width="10.54296875" style="52" bestFit="1" customWidth="1"/>
    <col min="4" max="4" width="29.54296875" style="52" customWidth="1"/>
    <col min="5" max="5" width="22" style="52" customWidth="1"/>
    <col min="6" max="6" width="9.1796875" style="52"/>
    <col min="7" max="7" width="15.453125" style="52" bestFit="1" customWidth="1"/>
    <col min="8" max="16384" width="9.1796875" style="52"/>
  </cols>
  <sheetData>
    <row r="1" spans="2:5" ht="13" thickBot="1"/>
    <row r="2" spans="2:5" ht="33.75" customHeight="1" thickBot="1">
      <c r="B2" s="2101" t="str">
        <f>'0F Lj'!D12</f>
        <v>Razão Social da Loja</v>
      </c>
      <c r="C2" s="2102"/>
      <c r="D2" s="2103" t="str">
        <f>'0F Lj'!D13</f>
        <v>Nome Fantasia Loja</v>
      </c>
      <c r="E2" s="2104"/>
    </row>
    <row r="3" spans="2:5">
      <c r="B3" s="184"/>
      <c r="E3" s="245"/>
    </row>
    <row r="4" spans="2:5" ht="1.5" customHeight="1" thickBot="1">
      <c r="B4" s="184"/>
      <c r="E4" s="245"/>
    </row>
    <row r="5" spans="2:5" ht="16" thickBot="1">
      <c r="B5" s="246" t="s">
        <v>509</v>
      </c>
      <c r="C5" s="2113" t="str">
        <f>'3Orçto'!$V$7</f>
        <v>Cozinha/Qto/home/banheiro</v>
      </c>
      <c r="D5" s="2114"/>
      <c r="E5" s="2115"/>
    </row>
    <row r="6" spans="2:5" ht="13" thickBot="1">
      <c r="B6" s="184"/>
      <c r="E6" s="245"/>
    </row>
    <row r="7" spans="2:5" ht="16" thickBot="1">
      <c r="B7" s="247" t="s">
        <v>510</v>
      </c>
      <c r="C7" s="2109" t="str">
        <f>IF('1FComprador'!D12&lt;&gt;"",'1FComprador'!D12,"")</f>
        <v/>
      </c>
      <c r="D7" s="2110"/>
      <c r="E7" s="2111"/>
    </row>
    <row r="8" spans="2:5" ht="16" thickBot="1">
      <c r="B8" s="703" t="s">
        <v>461</v>
      </c>
      <c r="C8" s="2105" t="s">
        <v>511</v>
      </c>
      <c r="D8" s="2106"/>
      <c r="E8" s="248" t="s">
        <v>459</v>
      </c>
    </row>
    <row r="9" spans="2:5" ht="16" thickBot="1">
      <c r="B9" s="249" t="str">
        <f>'4Contrato Compra'!$K$5</f>
        <v>DG-0625-01</v>
      </c>
      <c r="C9" s="2107">
        <f>'14 Pers.'!$R$13</f>
        <v>26500</v>
      </c>
      <c r="D9" s="2108"/>
      <c r="E9" s="250">
        <f ca="1">'4Contrato Compra'!K69</f>
        <v>46153</v>
      </c>
    </row>
    <row r="10" spans="2:5">
      <c r="B10" s="184"/>
      <c r="E10" s="245"/>
    </row>
    <row r="11" spans="2:5" ht="15.5">
      <c r="B11" s="251" t="s">
        <v>483</v>
      </c>
      <c r="C11" s="252" t="s">
        <v>512</v>
      </c>
      <c r="D11" s="252" t="s">
        <v>484</v>
      </c>
      <c r="E11" s="253" t="s">
        <v>485</v>
      </c>
    </row>
    <row r="12" spans="2:5" ht="15.5">
      <c r="B12" s="254" t="str">
        <f>'14 Pers.'!$V26</f>
        <v>Comissão do Projeto</v>
      </c>
      <c r="C12" s="959">
        <v>6.2350000000000003E-2</v>
      </c>
      <c r="D12" s="255">
        <f>ROUNDUP(SUM(C9*C12),0)</f>
        <v>1653</v>
      </c>
      <c r="E12" s="896"/>
    </row>
    <row r="13" spans="2:5" ht="15.5">
      <c r="B13" s="894" t="str">
        <f>'14 Pers.'!$V27</f>
        <v>comissão Férias + 1/3</v>
      </c>
      <c r="C13" s="899">
        <f>'14 Pers.'!$R$27</f>
        <v>5.8888888888888888E-3</v>
      </c>
      <c r="D13" s="895">
        <f>ROUNDUP(SUM('14 Pers.'!$U27),0)</f>
        <v>184</v>
      </c>
      <c r="E13" s="896"/>
    </row>
    <row r="14" spans="2:5" ht="15.5">
      <c r="B14" s="894" t="str">
        <f>'14 Pers.'!$V28</f>
        <v>13º (1/12" da comissão)</v>
      </c>
      <c r="C14" s="899">
        <f>'14 Pers.'!$R28</f>
        <v>4.4166666666666668E-3</v>
      </c>
      <c r="D14" s="895">
        <f>ROUNDUP(SUM('14 Pers.'!$U28),0)</f>
        <v>138</v>
      </c>
      <c r="E14" s="896"/>
    </row>
    <row r="15" spans="2:5" ht="15.5">
      <c r="B15" s="894" t="str">
        <f>'14 Pers.'!$V29</f>
        <v>FGTS 8º do Total da Comissão</v>
      </c>
      <c r="C15" s="899">
        <f>D15/C9</f>
        <v>5.9622641509433959E-3</v>
      </c>
      <c r="D15" s="895">
        <f>ROUNDUP(SUM(D12:D14)*8%,0)</f>
        <v>158</v>
      </c>
      <c r="E15" s="896"/>
    </row>
    <row r="16" spans="2:5" ht="15.5">
      <c r="B16" s="256"/>
      <c r="C16" s="899"/>
      <c r="D16" s="257"/>
      <c r="E16" s="896"/>
    </row>
    <row r="17" spans="2:9" ht="15.5">
      <c r="B17" s="256"/>
      <c r="C17" s="899"/>
      <c r="D17" s="257"/>
      <c r="E17" s="896"/>
    </row>
    <row r="18" spans="2:9" ht="15.5">
      <c r="B18" s="256"/>
      <c r="C18" s="899"/>
      <c r="D18" s="257"/>
      <c r="E18" s="896"/>
    </row>
    <row r="19" spans="2:9" ht="15.5">
      <c r="B19" s="256"/>
      <c r="C19" s="899"/>
      <c r="D19" s="257"/>
      <c r="E19" s="896"/>
      <c r="G19" s="897"/>
      <c r="I19" s="750"/>
    </row>
    <row r="20" spans="2:9" ht="15.5">
      <c r="B20" s="256"/>
      <c r="C20" s="899"/>
      <c r="D20" s="257"/>
      <c r="E20" s="896"/>
      <c r="G20" s="898"/>
    </row>
    <row r="21" spans="2:9" ht="15.5">
      <c r="B21" s="256"/>
      <c r="C21" s="899"/>
      <c r="D21" s="257"/>
      <c r="E21" s="896"/>
      <c r="G21" s="750"/>
      <c r="I21" s="898"/>
    </row>
    <row r="22" spans="2:9" ht="15.5">
      <c r="B22" s="258"/>
      <c r="C22" s="899"/>
      <c r="D22" s="257"/>
      <c r="E22" s="896"/>
    </row>
    <row r="23" spans="2:9" ht="15.5">
      <c r="B23" s="259" t="s">
        <v>513</v>
      </c>
      <c r="C23" s="899"/>
      <c r="D23" s="283"/>
      <c r="E23" s="285"/>
    </row>
    <row r="24" spans="2:9" ht="15.5">
      <c r="B24" s="259"/>
      <c r="C24" s="899"/>
      <c r="D24" s="283"/>
      <c r="E24" s="285"/>
      <c r="G24" s="898"/>
    </row>
    <row r="25" spans="2:9" ht="15.5">
      <c r="B25" s="259"/>
      <c r="C25" s="899"/>
      <c r="D25" s="283"/>
      <c r="E25" s="285"/>
    </row>
    <row r="26" spans="2:9" ht="15.5">
      <c r="B26" s="259"/>
      <c r="C26" s="899"/>
      <c r="D26" s="283"/>
      <c r="E26" s="285"/>
    </row>
    <row r="27" spans="2:9" ht="15.5" customHeight="1">
      <c r="B27" s="259"/>
      <c r="C27" s="899"/>
      <c r="D27" s="283"/>
      <c r="E27" s="285"/>
    </row>
    <row r="28" spans="2:9" ht="15.5">
      <c r="B28" s="259"/>
      <c r="C28" s="899"/>
      <c r="D28" s="283"/>
      <c r="E28" s="285"/>
    </row>
    <row r="29" spans="2:9" ht="15.5">
      <c r="B29" s="259"/>
      <c r="C29" s="899"/>
      <c r="D29" s="283"/>
      <c r="E29" s="285"/>
    </row>
    <row r="30" spans="2:9" ht="15.5">
      <c r="B30" s="251" t="s">
        <v>514</v>
      </c>
      <c r="C30" s="260">
        <f>SUM(C12:C29)</f>
        <v>7.8617819706498948E-2</v>
      </c>
      <c r="D30" s="902">
        <f>SUM('9PG Projetista'!D12:D29)</f>
        <v>2133</v>
      </c>
      <c r="E30" s="903">
        <f>ROUNDUP(SUM(E12:E29),0)</f>
        <v>0</v>
      </c>
    </row>
    <row r="31" spans="2:9" ht="15.5">
      <c r="B31" s="2132"/>
      <c r="C31" s="2133"/>
      <c r="D31" s="2133"/>
      <c r="E31" s="2134"/>
    </row>
    <row r="32" spans="2:9" ht="15.5">
      <c r="B32" s="2135" t="s">
        <v>515</v>
      </c>
      <c r="C32" s="2136"/>
      <c r="D32" s="2122">
        <f>D30-E30</f>
        <v>2133</v>
      </c>
      <c r="E32" s="2123"/>
    </row>
    <row r="33" spans="2:5">
      <c r="B33" s="741"/>
      <c r="C33" s="742"/>
      <c r="D33" s="742"/>
      <c r="E33" s="743"/>
    </row>
    <row r="34" spans="2:5">
      <c r="B34" s="184"/>
      <c r="E34" s="245"/>
    </row>
    <row r="35" spans="2:5" s="261" customFormat="1" ht="15.5">
      <c r="B35" s="2129" t="s">
        <v>516</v>
      </c>
      <c r="C35" s="2130"/>
      <c r="D35" s="2130"/>
      <c r="E35" s="2131"/>
    </row>
    <row r="36" spans="2:5" ht="15.5">
      <c r="B36" s="262"/>
      <c r="C36" s="217"/>
      <c r="D36" s="217"/>
      <c r="E36" s="263"/>
    </row>
    <row r="37" spans="2:5" s="261" customFormat="1" ht="15.5">
      <c r="B37" s="2129" t="s">
        <v>517</v>
      </c>
      <c r="C37" s="2130"/>
      <c r="D37" s="2130"/>
      <c r="E37" s="2131"/>
    </row>
    <row r="38" spans="2:5" ht="15.5">
      <c r="B38" s="262"/>
      <c r="C38" s="217"/>
      <c r="D38" s="217"/>
      <c r="E38" s="263"/>
    </row>
    <row r="39" spans="2:5" s="261" customFormat="1" ht="15.5">
      <c r="B39" s="2124" t="s">
        <v>518</v>
      </c>
      <c r="C39" s="2125"/>
      <c r="D39" s="2125"/>
      <c r="E39" s="2126"/>
    </row>
    <row r="40" spans="2:5" ht="15.5">
      <c r="B40" s="262"/>
      <c r="C40" s="217"/>
      <c r="D40" s="217"/>
      <c r="E40" s="263"/>
    </row>
    <row r="41" spans="2:5" s="261" customFormat="1" ht="15.5">
      <c r="B41" s="2116" t="s">
        <v>519</v>
      </c>
      <c r="C41" s="2117"/>
      <c r="D41" s="2117"/>
      <c r="E41" s="2118"/>
    </row>
    <row r="42" spans="2:5" ht="15.5">
      <c r="B42" s="262"/>
      <c r="C42" s="217"/>
      <c r="D42" s="217"/>
      <c r="E42" s="263"/>
    </row>
    <row r="43" spans="2:5" ht="15.5">
      <c r="B43" s="262" t="s">
        <v>520</v>
      </c>
      <c r="C43" s="217"/>
      <c r="D43" s="217"/>
      <c r="E43" s="263"/>
    </row>
    <row r="44" spans="2:5" ht="8.25" customHeight="1">
      <c r="B44" s="262"/>
      <c r="C44" s="217"/>
      <c r="D44" s="217"/>
      <c r="E44" s="263"/>
    </row>
    <row r="45" spans="2:5" ht="15.5">
      <c r="B45" s="262"/>
      <c r="C45" s="217"/>
      <c r="D45" s="217"/>
      <c r="E45" s="263"/>
    </row>
    <row r="46" spans="2:5" ht="15.5">
      <c r="B46" s="262"/>
      <c r="C46" s="217"/>
      <c r="D46" s="217"/>
      <c r="E46" s="263"/>
    </row>
    <row r="47" spans="2:5" ht="15.5">
      <c r="B47" s="704"/>
      <c r="C47" s="705"/>
      <c r="D47" s="2127" t="str">
        <f ca="1">'0F Lj'!D18&amp;", "&amp;TEXT($E$9,"dd")&amp;" de "&amp;TEXT($E$9,"mmmm")&amp;" de "&amp;TEXT($E$9,"AAAA")&amp;". "</f>
        <v xml:space="preserve">Cidade da Loja, 11 de maio de 2026. </v>
      </c>
      <c r="E47" s="2128"/>
    </row>
    <row r="48" spans="2:5" ht="15.5">
      <c r="B48" s="704"/>
      <c r="C48" s="705"/>
      <c r="D48" s="264"/>
      <c r="E48" s="265"/>
    </row>
    <row r="49" spans="2:7" ht="15.5">
      <c r="B49" s="704"/>
      <c r="C49" s="705"/>
      <c r="D49" s="264"/>
      <c r="E49" s="265"/>
    </row>
    <row r="50" spans="2:7" ht="15.5">
      <c r="B50" s="704"/>
      <c r="C50" s="705"/>
      <c r="D50" s="705"/>
      <c r="E50" s="266"/>
    </row>
    <row r="51" spans="2:7" ht="15.5">
      <c r="B51" s="2116" t="s">
        <v>521</v>
      </c>
      <c r="C51" s="2117"/>
      <c r="D51" s="2117"/>
      <c r="E51" s="2118"/>
    </row>
    <row r="52" spans="2:7" ht="16" thickBot="1">
      <c r="B52" s="2119" t="str">
        <f>'3Orçto'!$B$1:$E$1</f>
        <v>Vendedor(a) Projetista : Vendedor 1</v>
      </c>
      <c r="C52" s="2120"/>
      <c r="D52" s="2120"/>
      <c r="E52" s="2121"/>
      <c r="G52" s="267"/>
    </row>
    <row r="53" spans="2:7" s="216" customFormat="1" ht="11.5">
      <c r="B53" s="216" t="s">
        <v>522</v>
      </c>
      <c r="C53" s="268" t="s">
        <v>121</v>
      </c>
      <c r="D53" s="2112" t="str">
        <f>'0F Lj'!D80</f>
        <v xml:space="preserve"> Sistema ByDesigner Desenvolvido Neri (21) 97014-2420</v>
      </c>
      <c r="E53" s="2112"/>
    </row>
  </sheetData>
  <sheetProtection algorithmName="SHA-512" hashValue="Mkpum5NuLApvnfsPNJaglnyXfL1LHZnqalf29j7en/pRFmmok76wMl+LOh9JxImqgiuIiOToo9LTlsEqvoZj1w==" saltValue="YmsxWNF+tWSAtNwaDH0mqg==" spinCount="100000" sheet="1" objects="1" scenarios="1"/>
  <mergeCells count="17">
    <mergeCell ref="D53:E53"/>
    <mergeCell ref="C5:E5"/>
    <mergeCell ref="B51:E51"/>
    <mergeCell ref="B52:E52"/>
    <mergeCell ref="D32:E32"/>
    <mergeCell ref="B39:E39"/>
    <mergeCell ref="D47:E47"/>
    <mergeCell ref="B35:E35"/>
    <mergeCell ref="B37:E37"/>
    <mergeCell ref="B41:E41"/>
    <mergeCell ref="B31:E31"/>
    <mergeCell ref="B32:C32"/>
    <mergeCell ref="B2:C2"/>
    <mergeCell ref="D2:E2"/>
    <mergeCell ref="C8:D8"/>
    <mergeCell ref="C9:D9"/>
    <mergeCell ref="C7:E7"/>
  </mergeCells>
  <printOptions horizontalCentered="1" verticalCentered="1"/>
  <pageMargins left="0.39370078740157483" right="0.39370078740157483" top="0.39370078740157483" bottom="0.3937007874015748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6">
    <tabColor rgb="FFFFFF00"/>
  </sheetPr>
  <dimension ref="B1:O66"/>
  <sheetViews>
    <sheetView showGridLines="0" topLeftCell="A3" zoomScale="120" zoomScaleNormal="120" workbookViewId="0">
      <selection activeCell="B12" sqref="B12:L66"/>
    </sheetView>
  </sheetViews>
  <sheetFormatPr defaultColWidth="9.1796875" defaultRowHeight="12.5"/>
  <cols>
    <col min="1" max="1" width="1.7265625" style="52" customWidth="1"/>
    <col min="2" max="2" width="5.7265625" style="52" customWidth="1"/>
    <col min="3" max="3" width="5.54296875" style="52" customWidth="1"/>
    <col min="4" max="4" width="15.1796875" style="52" customWidth="1"/>
    <col min="5" max="5" width="9.1796875" style="52"/>
    <col min="6" max="6" width="6" style="52" customWidth="1"/>
    <col min="7" max="7" width="10.81640625" style="52" customWidth="1"/>
    <col min="8" max="8" width="9.54296875" style="52" customWidth="1"/>
    <col min="9" max="9" width="9.1796875" style="52"/>
    <col min="10" max="10" width="10" style="52" bestFit="1" customWidth="1"/>
    <col min="11" max="11" width="10.7265625" style="52" customWidth="1"/>
    <col min="12" max="12" width="11.1796875" style="52" customWidth="1"/>
    <col min="13" max="13" width="10.1796875" style="52" bestFit="1" customWidth="1"/>
    <col min="14" max="16384" width="9.1796875" style="52"/>
  </cols>
  <sheetData>
    <row r="1" spans="2:12" ht="3.75" customHeight="1" thickBot="1"/>
    <row r="2" spans="2:12" ht="16" thickBot="1">
      <c r="B2" s="1394" t="s">
        <v>123</v>
      </c>
      <c r="C2" s="1395"/>
      <c r="D2" s="1395"/>
      <c r="E2" s="1395"/>
      <c r="F2" s="1395"/>
      <c r="G2" s="1395"/>
      <c r="H2" s="1395"/>
      <c r="I2" s="1395"/>
      <c r="J2" s="1395"/>
      <c r="K2" s="1388" t="str">
        <f>'0F Lj'!F2</f>
        <v>Versão nº 22/07/2025</v>
      </c>
      <c r="L2" s="1389"/>
    </row>
    <row r="3" spans="2:12" ht="13">
      <c r="B3" s="1397" t="s">
        <v>124</v>
      </c>
      <c r="C3" s="1398"/>
      <c r="D3" s="1398"/>
      <c r="E3" s="1400" t="str">
        <f>'0F Lj'!D12</f>
        <v>Razão Social da Loja</v>
      </c>
      <c r="F3" s="1401"/>
      <c r="G3" s="1401"/>
      <c r="H3" s="1401"/>
      <c r="I3" s="1401"/>
      <c r="J3" s="1401"/>
      <c r="K3" s="1841"/>
      <c r="L3" s="1391"/>
    </row>
    <row r="4" spans="2:12">
      <c r="B4" s="1403" t="s">
        <v>125</v>
      </c>
      <c r="C4" s="1404"/>
      <c r="D4" s="1404"/>
      <c r="E4" s="1765" t="str">
        <f>'0F Lj'!D13</f>
        <v>Nome Fantasia Loja</v>
      </c>
      <c r="F4" s="1766"/>
      <c r="G4" s="1766"/>
      <c r="H4" s="1766"/>
      <c r="I4" s="1766"/>
      <c r="J4" s="1766"/>
      <c r="K4" s="1840" t="s">
        <v>126</v>
      </c>
      <c r="L4" s="1413"/>
    </row>
    <row r="5" spans="2:12">
      <c r="B5" s="1421" t="s">
        <v>127</v>
      </c>
      <c r="C5" s="1404"/>
      <c r="D5" s="1404"/>
      <c r="E5" s="1410" t="str">
        <f>'0F Lj'!D19</f>
        <v>CNPJ da Loja</v>
      </c>
      <c r="F5" s="1411"/>
      <c r="G5" s="1411"/>
      <c r="H5" s="1417" t="str">
        <f>IF('0F Lj'!F19&lt;&gt;"",'0F Lj'!F19,"")</f>
        <v>Inscrição da loja</v>
      </c>
      <c r="I5" s="1417"/>
      <c r="J5" s="1417"/>
      <c r="K5" s="2192" t="str">
        <f>'1FComprador'!K5:L5</f>
        <v>DG-0625-01</v>
      </c>
      <c r="L5" s="2193"/>
    </row>
    <row r="6" spans="2:12" ht="13">
      <c r="B6" s="1403" t="s">
        <v>128</v>
      </c>
      <c r="C6" s="1404"/>
      <c r="D6" s="1404"/>
      <c r="E6" s="1414" t="str">
        <f>'0F Lj'!D16</f>
        <v>Endereço da Loja</v>
      </c>
      <c r="F6" s="1415"/>
      <c r="G6" s="1415"/>
      <c r="H6" s="1415"/>
      <c r="I6" s="1415"/>
      <c r="J6" s="1415"/>
      <c r="K6" s="1749" t="s">
        <v>129</v>
      </c>
      <c r="L6" s="1407"/>
    </row>
    <row r="7" spans="2:12" ht="14">
      <c r="B7" s="1421" t="s">
        <v>130</v>
      </c>
      <c r="C7" s="1404"/>
      <c r="D7" s="1404"/>
      <c r="E7" s="1421" t="str">
        <f>'0F Lj'!D17</f>
        <v>Bairro da loja</v>
      </c>
      <c r="F7" s="1422"/>
      <c r="G7" s="1422"/>
      <c r="H7" s="1422" t="str">
        <f>'0F Lj'!F21</f>
        <v>Fone</v>
      </c>
      <c r="I7" s="1422"/>
      <c r="J7" s="1422"/>
      <c r="K7" s="1767">
        <f ca="1">TODAY()</f>
        <v>46153</v>
      </c>
      <c r="L7" s="1420"/>
    </row>
    <row r="8" spans="2:12">
      <c r="B8" s="1403" t="s">
        <v>131</v>
      </c>
      <c r="C8" s="1404"/>
      <c r="D8" s="1404"/>
      <c r="E8" s="1421" t="str">
        <f>'0F Lj'!D23</f>
        <v>E-mail da Loja</v>
      </c>
      <c r="F8" s="1422"/>
      <c r="G8" s="1422"/>
      <c r="H8" s="1422"/>
      <c r="I8" s="1422"/>
      <c r="J8" s="1422"/>
      <c r="K8" s="292" t="s">
        <v>18</v>
      </c>
      <c r="L8" s="291">
        <v>1</v>
      </c>
    </row>
    <row r="9" spans="2:12" ht="13" thickBot="1">
      <c r="B9" s="2181" t="str">
        <f>'1FComprador'!B9:D9</f>
        <v>Vendedor 1</v>
      </c>
      <c r="C9" s="2182"/>
      <c r="D9" s="2182"/>
      <c r="E9" s="2183" t="str">
        <f>'3Orçto'!B1</f>
        <v>Vendedor(a) Projetista : Vendedor 1</v>
      </c>
      <c r="F9" s="2184"/>
      <c r="G9" s="2184"/>
      <c r="H9" s="2184"/>
      <c r="I9" s="2184"/>
      <c r="J9" s="2184"/>
      <c r="K9" s="1753" t="str">
        <f>'0F Lj'!F15</f>
        <v>Local da loja</v>
      </c>
      <c r="L9" s="1409"/>
    </row>
    <row r="10" spans="2:12" ht="13" thickBot="1">
      <c r="B10" s="2145" t="s">
        <v>523</v>
      </c>
      <c r="C10" s="2146"/>
      <c r="D10" s="2147"/>
      <c r="E10" s="2148" t="s">
        <v>874</v>
      </c>
      <c r="F10" s="2149"/>
      <c r="G10" s="2149"/>
      <c r="H10" s="2149"/>
      <c r="I10" s="2149"/>
      <c r="J10" s="2150"/>
      <c r="K10" s="2148" t="str">
        <f>VLOOKUP(E10,'0F Lj'!D73:G79,2)</f>
        <v>CPF 53727602996</v>
      </c>
      <c r="L10" s="2150"/>
    </row>
    <row r="11" spans="2:12">
      <c r="B11" s="2185" t="s">
        <v>132</v>
      </c>
      <c r="C11" s="1663"/>
      <c r="D11" s="1663"/>
      <c r="E11" s="1663"/>
      <c r="F11" s="1663"/>
      <c r="G11" s="1663"/>
      <c r="H11" s="1663"/>
      <c r="I11" s="1663"/>
      <c r="J11" s="680" t="s">
        <v>133</v>
      </c>
      <c r="K11" s="2186" t="str">
        <f>IF('1FComprador'!K11&lt;&gt;"",'1FComprador'!K11,"")</f>
        <v/>
      </c>
      <c r="L11" s="2187"/>
    </row>
    <row r="12" spans="2:12">
      <c r="B12" s="1380" t="s">
        <v>135</v>
      </c>
      <c r="C12" s="1381"/>
      <c r="D12" s="2188" t="str">
        <f>IF('1FComprador'!D12&lt;&gt;"",'1FComprador'!D12,"")</f>
        <v/>
      </c>
      <c r="E12" s="1751"/>
      <c r="F12" s="1751"/>
      <c r="G12" s="1751"/>
      <c r="H12" s="1751"/>
      <c r="I12" s="2189"/>
      <c r="J12" s="680" t="s">
        <v>407</v>
      </c>
      <c r="K12" s="2190" t="str">
        <f>IF('1FComprador'!K12&lt;&gt;"",'1FComprador'!K12,"")</f>
        <v/>
      </c>
      <c r="L12" s="2191"/>
    </row>
    <row r="13" spans="2:12">
      <c r="B13" s="1293" t="s">
        <v>3</v>
      </c>
      <c r="C13" s="1294"/>
      <c r="D13" s="1294"/>
      <c r="E13" s="1294"/>
      <c r="F13" s="1294"/>
      <c r="G13" s="1294"/>
      <c r="H13" s="1294"/>
      <c r="I13" s="1294"/>
      <c r="J13" s="1294"/>
      <c r="K13" s="1294"/>
      <c r="L13" s="1295"/>
    </row>
    <row r="14" spans="2:12">
      <c r="B14" s="1288" t="s">
        <v>137</v>
      </c>
      <c r="C14" s="1289"/>
      <c r="D14" s="1290"/>
      <c r="E14" s="1745" t="str">
        <f>IF('1FComprador'!E14&lt;&gt;"",'1FComprador'!E14,"")</f>
        <v/>
      </c>
      <c r="F14" s="1744"/>
      <c r="G14" s="290" t="s">
        <v>138</v>
      </c>
      <c r="H14" s="693" t="str">
        <f>IF('1FComprador'!H15&lt;&gt;"",'1FComprador'!H15,"")</f>
        <v/>
      </c>
      <c r="I14" s="290" t="s">
        <v>139</v>
      </c>
      <c r="J14" s="329" t="str">
        <f>IF('1FComprador'!J14&lt;&gt;"",'1FComprador'!J14,"")</f>
        <v xml:space="preserve"> </v>
      </c>
      <c r="K14" s="293" t="s">
        <v>140</v>
      </c>
      <c r="L14" s="330" t="str">
        <f>IF('1FComprador'!L14&lt;&gt;"",'1FComprador'!L14,"")</f>
        <v xml:space="preserve"> </v>
      </c>
    </row>
    <row r="15" spans="2:12">
      <c r="B15" s="1296" t="s">
        <v>3</v>
      </c>
      <c r="C15" s="1297"/>
      <c r="D15" s="1297"/>
      <c r="E15" s="1297"/>
      <c r="F15" s="1297"/>
      <c r="G15" s="1297"/>
      <c r="H15" s="1297"/>
      <c r="I15" s="1297"/>
      <c r="J15" s="1297"/>
      <c r="K15" s="1297"/>
      <c r="L15" s="1298"/>
    </row>
    <row r="16" spans="2:12">
      <c r="B16" s="1288" t="s">
        <v>141</v>
      </c>
      <c r="C16" s="1290"/>
      <c r="D16" s="1745" t="str">
        <f>IF('1FComprador'!D16&lt;&gt;"",'1FComprador'!D16,"")</f>
        <v xml:space="preserve"> </v>
      </c>
      <c r="E16" s="1305"/>
      <c r="F16" s="1305"/>
      <c r="G16" s="1305"/>
      <c r="H16" s="1305"/>
      <c r="I16" s="1305"/>
      <c r="J16" s="1744"/>
      <c r="K16" s="290" t="s">
        <v>142</v>
      </c>
      <c r="L16" s="696" t="str">
        <f>IF('1FComprador'!L16&lt;&gt;"",'1FComprador'!L16,"")</f>
        <v>Led</v>
      </c>
    </row>
    <row r="17" spans="2:15">
      <c r="B17" s="2178" t="s">
        <v>3</v>
      </c>
      <c r="C17" s="2179"/>
      <c r="D17" s="2179"/>
      <c r="E17" s="2179"/>
      <c r="F17" s="2179"/>
      <c r="G17" s="2179"/>
      <c r="H17" s="2179"/>
      <c r="I17" s="2179"/>
      <c r="J17" s="2179"/>
      <c r="K17" s="2179"/>
      <c r="L17" s="2180"/>
    </row>
    <row r="18" spans="2:15">
      <c r="B18" s="1288" t="s">
        <v>143</v>
      </c>
      <c r="C18" s="1290"/>
      <c r="D18" s="1745" t="str">
        <f>IF('1FComprador'!D18&lt;&gt;"",'1FComprador'!D18,"")</f>
        <v/>
      </c>
      <c r="E18" s="1305"/>
      <c r="F18" s="1744"/>
      <c r="G18" s="290" t="s">
        <v>144</v>
      </c>
      <c r="H18" s="1745" t="str">
        <f>IF('1FComprador'!H18&lt;&gt;"",'1FComprador'!H18,"")</f>
        <v xml:space="preserve"> Rio de Janeiro</v>
      </c>
      <c r="I18" s="1744"/>
      <c r="J18" s="317" t="str">
        <f>IF('1FComprador'!J18&lt;&gt;"",'1FComprador'!J18,"")</f>
        <v xml:space="preserve"> RJ</v>
      </c>
      <c r="K18" s="289" t="s">
        <v>65</v>
      </c>
      <c r="L18" s="336" t="str">
        <f>IF('1FComprador'!L18&lt;&gt;"",'1FComprador'!L18,"")</f>
        <v/>
      </c>
    </row>
    <row r="19" spans="2:15">
      <c r="B19" s="1299" t="s">
        <v>3</v>
      </c>
      <c r="C19" s="1300"/>
      <c r="D19" s="1300"/>
      <c r="E19" s="1300"/>
      <c r="F19" s="1300"/>
      <c r="G19" s="1300"/>
      <c r="H19" s="1300"/>
      <c r="I19" s="1300"/>
      <c r="J19" s="1300"/>
      <c r="K19" s="1300"/>
      <c r="L19" s="1301"/>
    </row>
    <row r="20" spans="2:15">
      <c r="B20" s="1288" t="s">
        <v>147</v>
      </c>
      <c r="C20" s="1290"/>
      <c r="D20" s="692" t="str">
        <f>IF('1FComprador'!D20&lt;&gt;"",'1FComprador'!D20,"")</f>
        <v xml:space="preserve"> </v>
      </c>
      <c r="E20" s="1745" t="str">
        <f>IF('1FComprador'!E20&lt;&gt;"",'1FComprador'!E20,"")</f>
        <v xml:space="preserve"> </v>
      </c>
      <c r="F20" s="1744"/>
      <c r="G20" s="290" t="s">
        <v>148</v>
      </c>
      <c r="H20" s="1746" t="str">
        <f>IF('1FComprador'!H20&lt;&gt;"",'1FComprador'!H20,"")</f>
        <v xml:space="preserve"> </v>
      </c>
      <c r="I20" s="1747"/>
      <c r="J20" s="1747"/>
      <c r="K20" s="1747"/>
      <c r="L20" s="1748"/>
    </row>
    <row r="21" spans="2:15">
      <c r="B21" s="1741" t="s">
        <v>3</v>
      </c>
      <c r="C21" s="1742"/>
      <c r="D21" s="1742"/>
      <c r="E21" s="1742"/>
      <c r="F21" s="1742"/>
      <c r="G21" s="1742"/>
      <c r="H21" s="1742"/>
      <c r="I21" s="1742"/>
      <c r="J21" s="1742"/>
      <c r="K21" s="1742"/>
      <c r="L21" s="1743"/>
    </row>
    <row r="22" spans="2:15">
      <c r="B22" s="1776" t="s">
        <v>149</v>
      </c>
      <c r="C22" s="1777"/>
      <c r="D22" s="1305" t="str">
        <f>IF('1FComprador'!D22&lt;&gt;"",'1FComprador'!D22,"")</f>
        <v xml:space="preserve">ACIMA </v>
      </c>
      <c r="E22" s="1305"/>
      <c r="F22" s="1305"/>
      <c r="G22" s="1305"/>
      <c r="H22" s="1305"/>
      <c r="I22" s="1305"/>
      <c r="J22" s="1744"/>
      <c r="K22" s="298" t="s">
        <v>151</v>
      </c>
      <c r="L22" s="381" t="str">
        <f>IF('1FComprador'!L22&lt;&gt;"",'1FComprador'!L22,"")</f>
        <v>até 40 dias úteis</v>
      </c>
    </row>
    <row r="23" spans="2:15">
      <c r="B23" s="1741" t="s">
        <v>3</v>
      </c>
      <c r="C23" s="1742"/>
      <c r="D23" s="1742"/>
      <c r="E23" s="1742"/>
      <c r="F23" s="1742"/>
      <c r="G23" s="1742"/>
      <c r="H23" s="1742"/>
      <c r="I23" s="1742"/>
      <c r="J23" s="1742"/>
      <c r="K23" s="1742"/>
      <c r="L23" s="1743"/>
    </row>
    <row r="24" spans="2:15">
      <c r="B24" s="1288" t="s">
        <v>143</v>
      </c>
      <c r="C24" s="1290"/>
      <c r="D24" s="1745" t="str">
        <f>IF('1FComprador'!D24&lt;&gt;"",'1FComprador'!D24,"")</f>
        <v xml:space="preserve"> </v>
      </c>
      <c r="E24" s="1305"/>
      <c r="F24" s="1744"/>
      <c r="G24" s="290" t="s">
        <v>144</v>
      </c>
      <c r="H24" s="1745" t="str">
        <f>IF('1FComprador'!H24&lt;&gt;"",'1FComprador'!H24,"")</f>
        <v>Rio de Janeiro</v>
      </c>
      <c r="I24" s="1744"/>
      <c r="J24" s="317" t="str">
        <f>IF('1FComprador'!J24&lt;&gt;"",'1FComprador'!J24,"")</f>
        <v>RJ</v>
      </c>
      <c r="K24" s="289" t="s">
        <v>65</v>
      </c>
      <c r="L24" s="336" t="str">
        <f>IF('1FComprador'!L24&lt;&gt;"",'1FComprador'!L24,"")</f>
        <v/>
      </c>
    </row>
    <row r="25" spans="2:15" ht="13" thickBot="1">
      <c r="B25" s="1729" t="s">
        <v>3</v>
      </c>
      <c r="C25" s="1730"/>
      <c r="D25" s="1730"/>
      <c r="E25" s="1730"/>
      <c r="F25" s="1730"/>
      <c r="G25" s="1730"/>
      <c r="H25" s="1730"/>
      <c r="I25" s="1730"/>
      <c r="J25" s="1730"/>
      <c r="K25" s="1730"/>
      <c r="L25" s="1731"/>
    </row>
    <row r="26" spans="2:15" ht="13.5" customHeight="1" thickBot="1">
      <c r="B26" s="1850" t="s">
        <v>153</v>
      </c>
      <c r="C26" s="1279"/>
      <c r="D26" s="2171"/>
      <c r="E26" s="2171"/>
      <c r="F26" s="2171"/>
      <c r="G26" s="1279"/>
      <c r="H26" s="1279"/>
      <c r="I26" s="1279"/>
      <c r="J26" s="1279"/>
      <c r="K26" s="1279"/>
      <c r="L26" s="1851"/>
      <c r="O26" s="707"/>
    </row>
    <row r="27" spans="2:15" ht="13" thickBot="1">
      <c r="B27" s="385" t="s">
        <v>154</v>
      </c>
      <c r="C27" s="385" t="s">
        <v>155</v>
      </c>
      <c r="D27" s="2172" t="s">
        <v>410</v>
      </c>
      <c r="E27" s="1318"/>
      <c r="F27" s="2173"/>
      <c r="G27" s="2174" t="s">
        <v>524</v>
      </c>
      <c r="H27" s="2175"/>
      <c r="I27" s="2175"/>
      <c r="J27" s="2175"/>
      <c r="K27" s="2175"/>
      <c r="L27" s="1315"/>
    </row>
    <row r="28" spans="2:15">
      <c r="B28" s="46">
        <v>1</v>
      </c>
      <c r="C28" s="699">
        <f>IF('1FComprador'!C28&lt;&gt;"",'1FComprador'!C28,"")</f>
        <v>1</v>
      </c>
      <c r="D28" s="1684" t="str">
        <f>IF('1FComprador'!D28&lt;&gt;"",'1FComprador'!D28,"")</f>
        <v>Banheiro Social</v>
      </c>
      <c r="E28" s="1684"/>
      <c r="F28" s="1684"/>
      <c r="G28" s="2176" t="str">
        <f>IF('1FComprador'!G47&lt;&gt;"",'1FComprador'!G47,"")</f>
        <v/>
      </c>
      <c r="H28" s="2176"/>
      <c r="I28" s="2176"/>
      <c r="J28" s="2176"/>
      <c r="K28" s="2176"/>
      <c r="L28" s="2177"/>
    </row>
    <row r="29" spans="2:15">
      <c r="B29" s="886">
        <v>2</v>
      </c>
      <c r="C29" s="890">
        <f>IF('1FComprador'!C29&lt;&gt;"",'1FComprador'!C29,"")</f>
        <v>1</v>
      </c>
      <c r="D29" s="2162" t="str">
        <f>IF('1FComprador'!D29&lt;&gt;"",'1FComprador'!D29,"")</f>
        <v>Banheiro Suite</v>
      </c>
      <c r="E29" s="2162"/>
      <c r="F29" s="2162"/>
      <c r="G29" s="2166" t="str">
        <f>IF('1FComprador'!G48&lt;&gt;"",'1FComprador'!G48,"")</f>
        <v/>
      </c>
      <c r="H29" s="2166"/>
      <c r="I29" s="2166"/>
      <c r="J29" s="2166"/>
      <c r="K29" s="2166"/>
      <c r="L29" s="2167"/>
    </row>
    <row r="30" spans="2:15">
      <c r="B30" s="886">
        <v>3</v>
      </c>
      <c r="C30" s="890">
        <f>IF('1FComprador'!C30&lt;&gt;"",'1FComprador'!C30,"")</f>
        <v>1</v>
      </c>
      <c r="D30" s="2162" t="str">
        <f>IF('1FComprador'!D30&lt;&gt;"",'1FComprador'!D30,"")</f>
        <v>Cozinha e Lavanderia</v>
      </c>
      <c r="E30" s="2162"/>
      <c r="F30" s="2162"/>
      <c r="G30" s="2166" t="str">
        <f>IF('1FComprador'!G49&lt;&gt;"",'1FComprador'!G49,"")</f>
        <v/>
      </c>
      <c r="H30" s="2166"/>
      <c r="I30" s="2166"/>
      <c r="J30" s="2166"/>
      <c r="K30" s="2166"/>
      <c r="L30" s="2167"/>
    </row>
    <row r="31" spans="2:15">
      <c r="B31" s="886">
        <v>4</v>
      </c>
      <c r="C31" s="890">
        <f>IF('1FComprador'!C31&lt;&gt;"",'1FComprador'!C31,"")</f>
        <v>1</v>
      </c>
      <c r="D31" s="2162" t="str">
        <f>IF('1FComprador'!D31&lt;&gt;"",'1FComprador'!D31,"")</f>
        <v>Sala com Estante Metalon</v>
      </c>
      <c r="E31" s="2162"/>
      <c r="F31" s="2162"/>
      <c r="G31" s="2166" t="str">
        <f>IF('1FComprador'!G50&lt;&gt;"",'1FComprador'!G50,"")</f>
        <v/>
      </c>
      <c r="H31" s="2166"/>
      <c r="I31" s="2166"/>
      <c r="J31" s="2166"/>
      <c r="K31" s="2166"/>
      <c r="L31" s="2167"/>
    </row>
    <row r="32" spans="2:15">
      <c r="B32" s="886">
        <v>5</v>
      </c>
      <c r="C32" s="890" t="str">
        <f>IF('1FComprador'!C32&lt;&gt;"",'1FComprador'!C32,"")</f>
        <v xml:space="preserve">  </v>
      </c>
      <c r="D32" s="2162" t="str">
        <f>IF('1FComprador'!D32&lt;&gt;"",'1FComprador'!D32,"")</f>
        <v xml:space="preserve">  </v>
      </c>
      <c r="E32" s="2162"/>
      <c r="F32" s="2162"/>
      <c r="G32" s="2166" t="str">
        <f>IF('1FComprador'!G51&lt;&gt;"",'1FComprador'!G51,"")</f>
        <v/>
      </c>
      <c r="H32" s="2166"/>
      <c r="I32" s="2166"/>
      <c r="J32" s="2166"/>
      <c r="K32" s="2166"/>
      <c r="L32" s="2167"/>
    </row>
    <row r="33" spans="2:12" ht="13" thickBot="1">
      <c r="B33" s="887">
        <v>6</v>
      </c>
      <c r="C33" s="891" t="str">
        <f>IF('1FComprador'!C33&lt;&gt;"",'1FComprador'!C33,"")</f>
        <v xml:space="preserve">  </v>
      </c>
      <c r="D33" s="2163" t="str">
        <f>IF('1FComprador'!D33&lt;&gt;"",'1FComprador'!D33,"")</f>
        <v xml:space="preserve">  </v>
      </c>
      <c r="E33" s="2163"/>
      <c r="F33" s="2163"/>
      <c r="G33" s="2168" t="str">
        <f>IF('1FComprador'!G52&lt;&gt;"",'1FComprador'!G52,"")</f>
        <v/>
      </c>
      <c r="H33" s="2168"/>
      <c r="I33" s="2168"/>
      <c r="J33" s="2168"/>
      <c r="K33" s="2168"/>
      <c r="L33" s="2169"/>
    </row>
    <row r="34" spans="2:12" ht="13" thickBot="1">
      <c r="B34" s="337" t="s">
        <v>154</v>
      </c>
      <c r="C34" s="2164" t="s">
        <v>170</v>
      </c>
      <c r="D34" s="2165"/>
      <c r="E34" s="2164" t="s">
        <v>171</v>
      </c>
      <c r="F34" s="2165"/>
      <c r="G34" s="2164" t="s">
        <v>172</v>
      </c>
      <c r="H34" s="2165"/>
      <c r="I34" s="2164" t="s">
        <v>173</v>
      </c>
      <c r="J34" s="2165"/>
      <c r="K34" s="2164" t="s">
        <v>174</v>
      </c>
      <c r="L34" s="2170"/>
    </row>
    <row r="35" spans="2:12">
      <c r="B35" s="25">
        <v>1</v>
      </c>
      <c r="C35" s="1692" t="str">
        <f>IF('1FComprador'!C40&lt;&gt;"",'1FComprador'!C40,"")</f>
        <v xml:space="preserve"> </v>
      </c>
      <c r="D35" s="1693"/>
      <c r="E35" s="1692" t="str">
        <f>IF('1FComprador'!E40&lt;&gt;"",'1FComprador'!E40,"")</f>
        <v xml:space="preserve"> </v>
      </c>
      <c r="F35" s="1693"/>
      <c r="G35" s="1692" t="str">
        <f>IF('1FComprador'!G40&lt;&gt;"",'1FComprador'!G40,"")</f>
        <v xml:space="preserve"> </v>
      </c>
      <c r="H35" s="1693"/>
      <c r="I35" s="1692" t="str">
        <f>IF('1FComprador'!I40&lt;&gt;"",'1FComprador'!I40,"")</f>
        <v xml:space="preserve"> </v>
      </c>
      <c r="J35" s="1693"/>
      <c r="K35" s="2160" t="str">
        <f>IF('1FComprador'!K40&lt;&gt;"",'1FComprador'!K40,"")</f>
        <v xml:space="preserve"> Gold</v>
      </c>
      <c r="L35" s="2161"/>
    </row>
    <row r="36" spans="2:12">
      <c r="B36" s="26">
        <v>2</v>
      </c>
      <c r="C36" s="1692" t="str">
        <f>IF('1FComprador'!C41&lt;&gt;"",'1FComprador'!C41,"")</f>
        <v xml:space="preserve"> </v>
      </c>
      <c r="D36" s="1693"/>
      <c r="E36" s="1692" t="str">
        <f>IF('1FComprador'!E41&lt;&gt;"",'1FComprador'!E41,"")</f>
        <v xml:space="preserve"> </v>
      </c>
      <c r="F36" s="1693"/>
      <c r="G36" s="1692" t="str">
        <f>IF('1FComprador'!G41&lt;&gt;"",'1FComprador'!G41,"")</f>
        <v xml:space="preserve"> </v>
      </c>
      <c r="H36" s="1693"/>
      <c r="I36" s="1692" t="str">
        <f>IF('1FComprador'!I41&lt;&gt;"",'1FComprador'!I41,"")</f>
        <v xml:space="preserve"> </v>
      </c>
      <c r="J36" s="1693"/>
      <c r="K36" s="1692" t="str">
        <f>IF('1FComprador'!K41&lt;&gt;"",'1FComprador'!K41,"")</f>
        <v/>
      </c>
      <c r="L36" s="1694"/>
    </row>
    <row r="37" spans="2:12">
      <c r="B37" s="26">
        <v>3</v>
      </c>
      <c r="C37" s="1692" t="str">
        <f>IF('1FComprador'!C42&lt;&gt;"",'1FComprador'!C42,"")</f>
        <v xml:space="preserve"> </v>
      </c>
      <c r="D37" s="1693"/>
      <c r="E37" s="1692" t="str">
        <f>IF('1FComprador'!E42&lt;&gt;"",'1FComprador'!E42,"")</f>
        <v xml:space="preserve"> </v>
      </c>
      <c r="F37" s="1693"/>
      <c r="G37" s="1692" t="str">
        <f>IF('1FComprador'!G42&lt;&gt;"",'1FComprador'!G42,"")</f>
        <v xml:space="preserve"> </v>
      </c>
      <c r="H37" s="1693"/>
      <c r="I37" s="1692" t="str">
        <f>IF('1FComprador'!I42&lt;&gt;"",'1FComprador'!I42,"")</f>
        <v xml:space="preserve"> </v>
      </c>
      <c r="J37" s="1693"/>
      <c r="K37" s="1692" t="str">
        <f>IF('1FComprador'!K42&lt;&gt;"",'1FComprador'!K42,"")</f>
        <v/>
      </c>
      <c r="L37" s="1694"/>
    </row>
    <row r="38" spans="2:12">
      <c r="B38" s="26">
        <v>4</v>
      </c>
      <c r="C38" s="1692" t="str">
        <f>IF('1FComprador'!C43&lt;&gt;"",'1FComprador'!C43,"")</f>
        <v/>
      </c>
      <c r="D38" s="1693"/>
      <c r="E38" s="1692" t="str">
        <f>IF('1FComprador'!E43&lt;&gt;"",'1FComprador'!E43,"")</f>
        <v/>
      </c>
      <c r="F38" s="1693"/>
      <c r="G38" s="1692" t="str">
        <f>IF('1FComprador'!G43&lt;&gt;"",'1FComprador'!G43,"")</f>
        <v/>
      </c>
      <c r="H38" s="1693"/>
      <c r="I38" s="1692" t="str">
        <f>IF('1FComprador'!I43&lt;&gt;"",'1FComprador'!I43,"")</f>
        <v/>
      </c>
      <c r="J38" s="1693"/>
      <c r="K38" s="1692" t="str">
        <f>IF('1FComprador'!K43&lt;&gt;"",'1FComprador'!K43,"")</f>
        <v/>
      </c>
      <c r="L38" s="1694"/>
    </row>
    <row r="39" spans="2:12">
      <c r="B39" s="26">
        <v>5</v>
      </c>
      <c r="C39" s="1692" t="str">
        <f>IF('1FComprador'!C44&lt;&gt;"",'1FComprador'!C44,"")</f>
        <v/>
      </c>
      <c r="D39" s="1693"/>
      <c r="E39" s="1692" t="str">
        <f>IF('1FComprador'!E44&lt;&gt;"",'1FComprador'!E44,"")</f>
        <v/>
      </c>
      <c r="F39" s="1693"/>
      <c r="G39" s="1692" t="str">
        <f>IF('1FComprador'!G44&lt;&gt;"",'1FComprador'!G44,"")</f>
        <v/>
      </c>
      <c r="H39" s="1693"/>
      <c r="I39" s="1692" t="str">
        <f>IF('1FComprador'!I44&lt;&gt;"",'1FComprador'!I44,"")</f>
        <v/>
      </c>
      <c r="J39" s="1693"/>
      <c r="K39" s="1692" t="str">
        <f>IF('1FComprador'!K44&lt;&gt;"",'1FComprador'!K44,"")</f>
        <v/>
      </c>
      <c r="L39" s="1694"/>
    </row>
    <row r="40" spans="2:12" ht="13" thickBot="1">
      <c r="B40" s="47">
        <v>6</v>
      </c>
      <c r="C40" s="1692" t="str">
        <f>IF('1FComprador'!C45&lt;&gt;"",'1FComprador'!C45,"")</f>
        <v/>
      </c>
      <c r="D40" s="1693"/>
      <c r="E40" s="1692" t="str">
        <f>IF('1FComprador'!E45&lt;&gt;"",'1FComprador'!E45,"")</f>
        <v/>
      </c>
      <c r="F40" s="1693"/>
      <c r="G40" s="1692" t="str">
        <f>IF('1FComprador'!G45&lt;&gt;"",'1FComprador'!G45,"")</f>
        <v/>
      </c>
      <c r="H40" s="1693"/>
      <c r="I40" s="1692" t="str">
        <f>IF('1FComprador'!I45&lt;&gt;"",'1FComprador'!I45,"")</f>
        <v/>
      </c>
      <c r="J40" s="1693"/>
      <c r="K40" s="1692" t="str">
        <f>IF('1FComprador'!K45&lt;&gt;"",'1FComprador'!K45,"")</f>
        <v/>
      </c>
      <c r="L40" s="1694"/>
    </row>
    <row r="41" spans="2:12" ht="13" thickBot="1">
      <c r="B41" s="1334" t="s">
        <v>176</v>
      </c>
      <c r="C41" s="1335"/>
      <c r="D41" s="1335"/>
      <c r="E41" s="1335"/>
      <c r="F41" s="1335"/>
      <c r="G41" s="1335"/>
      <c r="H41" s="1335"/>
      <c r="I41" s="1335"/>
      <c r="J41" s="1335"/>
      <c r="K41" s="1335"/>
      <c r="L41" s="1336"/>
    </row>
    <row r="42" spans="2:12">
      <c r="B42" s="25">
        <v>1</v>
      </c>
      <c r="C42" s="2157" t="str">
        <f>IF('1FComprador'!C47&lt;&gt;"",'1FComprador'!C47,"")</f>
        <v>Banheiro Social</v>
      </c>
      <c r="D42" s="2157"/>
      <c r="E42" s="2157"/>
      <c r="F42" s="2157"/>
      <c r="G42" s="2158" t="str">
        <f>IF('1FComprador'!G47&lt;&gt;"",'1FComprador'!G47,"")</f>
        <v/>
      </c>
      <c r="H42" s="2158"/>
      <c r="I42" s="2158"/>
      <c r="J42" s="2158"/>
      <c r="K42" s="2158"/>
      <c r="L42" s="2159"/>
    </row>
    <row r="43" spans="2:12">
      <c r="B43" s="26">
        <v>2</v>
      </c>
      <c r="C43" s="2157" t="str">
        <f>IF('1FComprador'!C48&lt;&gt;"",'1FComprador'!C48,"")</f>
        <v>Banheiro Suite</v>
      </c>
      <c r="D43" s="2157"/>
      <c r="E43" s="2157"/>
      <c r="F43" s="2157"/>
      <c r="G43" s="2158" t="str">
        <f>IF('1FComprador'!G48&lt;&gt;"",'1FComprador'!G48,"")</f>
        <v/>
      </c>
      <c r="H43" s="2158"/>
      <c r="I43" s="2158"/>
      <c r="J43" s="2158"/>
      <c r="K43" s="2158"/>
      <c r="L43" s="2159"/>
    </row>
    <row r="44" spans="2:12">
      <c r="B44" s="26">
        <v>3</v>
      </c>
      <c r="C44" s="2157" t="str">
        <f>IF('1FComprador'!C49&lt;&gt;"",'1FComprador'!C49,"")</f>
        <v>Cozinha e Lavanderia</v>
      </c>
      <c r="D44" s="2157"/>
      <c r="E44" s="2157"/>
      <c r="F44" s="2157"/>
      <c r="G44" s="2158" t="str">
        <f>IF('1FComprador'!G49&lt;&gt;"",'1FComprador'!G49,"")</f>
        <v/>
      </c>
      <c r="H44" s="2158"/>
      <c r="I44" s="2158"/>
      <c r="J44" s="2158"/>
      <c r="K44" s="2158"/>
      <c r="L44" s="2159"/>
    </row>
    <row r="45" spans="2:12">
      <c r="B45" s="26">
        <v>4</v>
      </c>
      <c r="C45" s="2157" t="str">
        <f>IF('1FComprador'!C50&lt;&gt;"",'1FComprador'!C50,"")</f>
        <v>Sala com Estante Metalon</v>
      </c>
      <c r="D45" s="2157"/>
      <c r="E45" s="2157"/>
      <c r="F45" s="2157"/>
      <c r="G45" s="2158" t="str">
        <f>IF('1FComprador'!G50&lt;&gt;"",'1FComprador'!G50,"")</f>
        <v/>
      </c>
      <c r="H45" s="2158"/>
      <c r="I45" s="2158"/>
      <c r="J45" s="2158"/>
      <c r="K45" s="2158"/>
      <c r="L45" s="2159"/>
    </row>
    <row r="46" spans="2:12">
      <c r="B46" s="26">
        <v>5</v>
      </c>
      <c r="C46" s="2157" t="str">
        <f>IF('1FComprador'!C51&lt;&gt;"",'1FComprador'!C51,"")</f>
        <v xml:space="preserve">  </v>
      </c>
      <c r="D46" s="2157"/>
      <c r="E46" s="2157"/>
      <c r="F46" s="2157"/>
      <c r="G46" s="2158" t="str">
        <f>IF('1FComprador'!G51&lt;&gt;"",'1FComprador'!G51,"")</f>
        <v/>
      </c>
      <c r="H46" s="2158"/>
      <c r="I46" s="2158"/>
      <c r="J46" s="2158"/>
      <c r="K46" s="2158"/>
      <c r="L46" s="2159"/>
    </row>
    <row r="47" spans="2:12" ht="13" thickBot="1">
      <c r="B47" s="729">
        <v>6</v>
      </c>
      <c r="C47" s="2157" t="str">
        <f>IF('1FComprador'!C52&lt;&gt;"",'1FComprador'!C52,"")</f>
        <v xml:space="preserve">  </v>
      </c>
      <c r="D47" s="2157"/>
      <c r="E47" s="2157"/>
      <c r="F47" s="2157"/>
      <c r="G47" s="2158" t="str">
        <f>IF('1FComprador'!G52&lt;&gt;"",'1FComprador'!G52,"")</f>
        <v/>
      </c>
      <c r="H47" s="2158"/>
      <c r="I47" s="2158"/>
      <c r="J47" s="2158"/>
      <c r="K47" s="2158"/>
      <c r="L47" s="2159"/>
    </row>
    <row r="48" spans="2:12" ht="13" thickBot="1">
      <c r="B48" s="1334" t="s">
        <v>177</v>
      </c>
      <c r="C48" s="1335"/>
      <c r="D48" s="1335"/>
      <c r="E48" s="1335"/>
      <c r="F48" s="1335"/>
      <c r="G48" s="1335"/>
      <c r="H48" s="1335"/>
      <c r="I48" s="1335"/>
      <c r="J48" s="1335"/>
      <c r="K48" s="1335"/>
      <c r="L48" s="1336"/>
    </row>
    <row r="49" spans="2:12">
      <c r="B49" s="25">
        <v>1</v>
      </c>
      <c r="C49" s="1692" t="str">
        <f>IF('1FComprador'!C54&lt;&gt;"",'1FComprador'!C54,"")</f>
        <v/>
      </c>
      <c r="D49" s="2151"/>
      <c r="E49" s="2151"/>
      <c r="F49" s="2151"/>
      <c r="G49" s="2151"/>
      <c r="H49" s="2151"/>
      <c r="I49" s="2151"/>
      <c r="J49" s="2151"/>
      <c r="K49" s="2151"/>
      <c r="L49" s="1694"/>
    </row>
    <row r="50" spans="2:12">
      <c r="B50" s="26">
        <v>2</v>
      </c>
      <c r="C50" s="1692" t="str">
        <f>IF('1FComprador'!C55&lt;&gt;"",'1FComprador'!C55,"")</f>
        <v/>
      </c>
      <c r="D50" s="2151"/>
      <c r="E50" s="2151"/>
      <c r="F50" s="2151"/>
      <c r="G50" s="2151"/>
      <c r="H50" s="2151"/>
      <c r="I50" s="2151"/>
      <c r="J50" s="2151"/>
      <c r="K50" s="2151"/>
      <c r="L50" s="1694"/>
    </row>
    <row r="51" spans="2:12" ht="12" customHeight="1">
      <c r="B51" s="26">
        <v>3</v>
      </c>
      <c r="C51" s="1692" t="str">
        <f>IF('1FComprador'!C56&lt;&gt;"",'1FComprador'!C56,"")</f>
        <v/>
      </c>
      <c r="D51" s="2151"/>
      <c r="E51" s="2151"/>
      <c r="F51" s="2151"/>
      <c r="G51" s="2151"/>
      <c r="H51" s="2151"/>
      <c r="I51" s="2151"/>
      <c r="J51" s="2151"/>
      <c r="K51" s="2151"/>
      <c r="L51" s="1694"/>
    </row>
    <row r="52" spans="2:12">
      <c r="B52" s="26">
        <v>4</v>
      </c>
      <c r="C52" s="1692" t="str">
        <f>IF('1FComprador'!C57&lt;&gt;"",'1FComprador'!C57,"")</f>
        <v/>
      </c>
      <c r="D52" s="2151"/>
      <c r="E52" s="2151"/>
      <c r="F52" s="2151"/>
      <c r="G52" s="2151"/>
      <c r="H52" s="2151"/>
      <c r="I52" s="2151"/>
      <c r="J52" s="2151"/>
      <c r="K52" s="2151"/>
      <c r="L52" s="1694"/>
    </row>
    <row r="53" spans="2:12">
      <c r="B53" s="26">
        <v>5</v>
      </c>
      <c r="C53" s="1692" t="str">
        <f>IF('1FComprador'!C58&lt;&gt;"",'1FComprador'!C58,"")</f>
        <v/>
      </c>
      <c r="D53" s="2151"/>
      <c r="E53" s="2151"/>
      <c r="F53" s="2151"/>
      <c r="G53" s="2151"/>
      <c r="H53" s="2151"/>
      <c r="I53" s="2151"/>
      <c r="J53" s="2151"/>
      <c r="K53" s="2151"/>
      <c r="L53" s="1694"/>
    </row>
    <row r="54" spans="2:12" ht="13" thickBot="1">
      <c r="B54" s="307">
        <v>6</v>
      </c>
      <c r="C54" s="1692" t="str">
        <f>IF('1FComprador'!C59&lt;&gt;"",'1FComprador'!C59,"")</f>
        <v/>
      </c>
      <c r="D54" s="2151"/>
      <c r="E54" s="2151"/>
      <c r="F54" s="2151"/>
      <c r="G54" s="2151"/>
      <c r="H54" s="2151"/>
      <c r="I54" s="2151"/>
      <c r="J54" s="2151"/>
      <c r="K54" s="2151"/>
      <c r="L54" s="1694"/>
    </row>
    <row r="55" spans="2:12" ht="13" thickBot="1">
      <c r="B55" s="2152" t="s">
        <v>525</v>
      </c>
      <c r="C55" s="2153"/>
      <c r="D55" s="2153"/>
      <c r="E55" s="2153"/>
      <c r="F55" s="2153"/>
      <c r="G55" s="2153"/>
      <c r="H55" s="2153"/>
      <c r="I55" s="2154"/>
      <c r="J55" s="53" t="s">
        <v>526</v>
      </c>
      <c r="K55" s="2152" t="s">
        <v>527</v>
      </c>
      <c r="L55" s="2154"/>
    </row>
    <row r="56" spans="2:12">
      <c r="B56" s="270"/>
      <c r="C56" s="2155"/>
      <c r="D56" s="2155"/>
      <c r="E56" s="2155"/>
      <c r="F56" s="2155"/>
      <c r="G56" s="2155"/>
      <c r="H56" s="2155"/>
      <c r="I56" s="2155"/>
      <c r="J56" s="2155"/>
      <c r="K56" s="2155"/>
      <c r="L56" s="2156"/>
    </row>
    <row r="57" spans="2:12">
      <c r="B57" s="271"/>
      <c r="C57" s="707"/>
      <c r="D57" s="707"/>
      <c r="E57" s="707"/>
      <c r="F57" s="707"/>
      <c r="G57" s="707"/>
      <c r="H57" s="707"/>
      <c r="I57" s="707"/>
      <c r="J57" s="707"/>
      <c r="K57" s="707"/>
      <c r="L57" s="708"/>
    </row>
    <row r="58" spans="2:12">
      <c r="B58" s="271"/>
      <c r="C58" s="707"/>
      <c r="D58" s="707"/>
      <c r="E58" s="707"/>
      <c r="F58" s="707"/>
      <c r="G58" s="707"/>
      <c r="H58" s="707"/>
      <c r="I58" s="707"/>
      <c r="J58" s="707"/>
      <c r="K58" s="707"/>
      <c r="L58" s="708"/>
    </row>
    <row r="59" spans="2:12">
      <c r="B59" s="184"/>
      <c r="C59" s="2137"/>
      <c r="D59" s="2137"/>
      <c r="E59" s="2137"/>
      <c r="F59" s="2137"/>
      <c r="G59" s="2137"/>
      <c r="H59" s="2137"/>
      <c r="I59" s="2137"/>
      <c r="J59" s="2137"/>
      <c r="K59" s="2137"/>
      <c r="L59" s="2138"/>
    </row>
    <row r="60" spans="2:12">
      <c r="B60" s="184"/>
      <c r="C60" s="2137"/>
      <c r="D60" s="2137"/>
      <c r="E60" s="2137"/>
      <c r="F60" s="2137"/>
      <c r="G60" s="2137"/>
      <c r="H60" s="2137"/>
      <c r="I60" s="2137"/>
      <c r="J60" s="2137"/>
      <c r="K60" s="2137"/>
      <c r="L60" s="2138"/>
    </row>
    <row r="61" spans="2:12">
      <c r="B61" s="184"/>
      <c r="C61" s="2137"/>
      <c r="D61" s="2137"/>
      <c r="E61" s="2137"/>
      <c r="F61" s="2137"/>
      <c r="G61" s="2137"/>
      <c r="H61" s="2137"/>
      <c r="I61" s="2137"/>
      <c r="J61" s="2137"/>
      <c r="K61" s="2137"/>
      <c r="L61" s="2138"/>
    </row>
    <row r="62" spans="2:12">
      <c r="B62" s="272"/>
      <c r="C62" s="269"/>
      <c r="D62" s="269"/>
      <c r="E62" s="269"/>
      <c r="F62" s="269"/>
      <c r="G62" s="269"/>
      <c r="H62" s="269"/>
      <c r="I62" s="269"/>
      <c r="J62" s="269"/>
      <c r="K62" s="269"/>
      <c r="L62" s="273"/>
    </row>
    <row r="63" spans="2:12">
      <c r="B63" s="184"/>
      <c r="L63" s="245"/>
    </row>
    <row r="64" spans="2:12">
      <c r="B64" s="184"/>
      <c r="L64" s="245"/>
    </row>
    <row r="65" spans="2:12" ht="13" thickBot="1">
      <c r="B65" s="2139" t="s">
        <v>528</v>
      </c>
      <c r="C65" s="2140"/>
      <c r="D65" s="2140" t="str">
        <f>E10</f>
        <v>montador 1</v>
      </c>
      <c r="E65" s="2140"/>
      <c r="F65" s="2140"/>
      <c r="G65" s="2140"/>
      <c r="H65" s="274"/>
      <c r="I65" s="275" t="s">
        <v>529</v>
      </c>
      <c r="J65" s="2141" t="str">
        <f>D12</f>
        <v/>
      </c>
      <c r="K65" s="2141"/>
      <c r="L65" s="2142"/>
    </row>
    <row r="66" spans="2:12">
      <c r="B66" s="2143" t="s">
        <v>530</v>
      </c>
      <c r="C66" s="2143"/>
      <c r="D66" s="2143"/>
      <c r="E66" s="216"/>
      <c r="F66" s="216"/>
      <c r="G66" s="268" t="s">
        <v>121</v>
      </c>
      <c r="H66" s="2144" t="str">
        <f>'0F Lj'!D80</f>
        <v xml:space="preserve"> Sistema ByDesigner Desenvolvido Neri (21) 97014-2420</v>
      </c>
      <c r="I66" s="2144"/>
      <c r="J66" s="2144"/>
      <c r="K66" s="2144"/>
      <c r="L66" s="2144"/>
    </row>
  </sheetData>
  <sheetProtection algorithmName="SHA-512" hashValue="37PdofMayNyT6Gjqlf7QIqiYg27qXblLeNk9qNEa3Or2r2uzB3rMoJmu53iS+bo0qs/quSmIUPpRdonHBMLyrA==" saltValue="vyo0J98eiU7GEp77SC1zCQ==" spinCount="100000" sheet="1" objects="1" scenarios="1"/>
  <mergeCells count="135">
    <mergeCell ref="B6:D6"/>
    <mergeCell ref="E6:J6"/>
    <mergeCell ref="K6:L6"/>
    <mergeCell ref="B7:D7"/>
    <mergeCell ref="E7:G7"/>
    <mergeCell ref="B2:J2"/>
    <mergeCell ref="K2:L2"/>
    <mergeCell ref="B3:D3"/>
    <mergeCell ref="E3:J3"/>
    <mergeCell ref="K3:L3"/>
    <mergeCell ref="B4:D4"/>
    <mergeCell ref="E4:J4"/>
    <mergeCell ref="K4:L4"/>
    <mergeCell ref="B5:D5"/>
    <mergeCell ref="E5:G5"/>
    <mergeCell ref="H5:J5"/>
    <mergeCell ref="K5:L5"/>
    <mergeCell ref="H7:J7"/>
    <mergeCell ref="K7:L7"/>
    <mergeCell ref="B8:D8"/>
    <mergeCell ref="E8:J8"/>
    <mergeCell ref="B9:D9"/>
    <mergeCell ref="E9:J9"/>
    <mergeCell ref="K9:L9"/>
    <mergeCell ref="B11:I11"/>
    <mergeCell ref="K11:L11"/>
    <mergeCell ref="B12:C12"/>
    <mergeCell ref="D12:I12"/>
    <mergeCell ref="K12:L12"/>
    <mergeCell ref="B13:L13"/>
    <mergeCell ref="B14:D14"/>
    <mergeCell ref="E14:F14"/>
    <mergeCell ref="B15:L15"/>
    <mergeCell ref="B16:C16"/>
    <mergeCell ref="D16:J16"/>
    <mergeCell ref="B17:L17"/>
    <mergeCell ref="B18:C18"/>
    <mergeCell ref="D18:F18"/>
    <mergeCell ref="H18:I18"/>
    <mergeCell ref="B19:L19"/>
    <mergeCell ref="B20:C20"/>
    <mergeCell ref="E20:F20"/>
    <mergeCell ref="H20:L20"/>
    <mergeCell ref="B21:L21"/>
    <mergeCell ref="B22:C22"/>
    <mergeCell ref="D22:J22"/>
    <mergeCell ref="B23:L23"/>
    <mergeCell ref="B24:C24"/>
    <mergeCell ref="D24:F24"/>
    <mergeCell ref="H24:I24"/>
    <mergeCell ref="B25:L25"/>
    <mergeCell ref="B26:L26"/>
    <mergeCell ref="D28:F28"/>
    <mergeCell ref="D27:F27"/>
    <mergeCell ref="G27:L27"/>
    <mergeCell ref="G28:L28"/>
    <mergeCell ref="D29:F29"/>
    <mergeCell ref="D30:F30"/>
    <mergeCell ref="D31:F31"/>
    <mergeCell ref="D32:F32"/>
    <mergeCell ref="D33:F33"/>
    <mergeCell ref="C34:D34"/>
    <mergeCell ref="E34:F34"/>
    <mergeCell ref="G34:H34"/>
    <mergeCell ref="I34:J34"/>
    <mergeCell ref="G29:L29"/>
    <mergeCell ref="G30:L30"/>
    <mergeCell ref="G31:L31"/>
    <mergeCell ref="G32:L32"/>
    <mergeCell ref="G33:L33"/>
    <mergeCell ref="K34:L34"/>
    <mergeCell ref="C35:D35"/>
    <mergeCell ref="E35:F35"/>
    <mergeCell ref="G35:H35"/>
    <mergeCell ref="I35:J35"/>
    <mergeCell ref="K35:L35"/>
    <mergeCell ref="C36:D36"/>
    <mergeCell ref="E36:F36"/>
    <mergeCell ref="G36:H36"/>
    <mergeCell ref="I36:J36"/>
    <mergeCell ref="K36:L36"/>
    <mergeCell ref="C37:D37"/>
    <mergeCell ref="E37:F37"/>
    <mergeCell ref="G37:H37"/>
    <mergeCell ref="I37:J37"/>
    <mergeCell ref="K37:L37"/>
    <mergeCell ref="C38:D38"/>
    <mergeCell ref="E38:F38"/>
    <mergeCell ref="G38:H38"/>
    <mergeCell ref="I38:J38"/>
    <mergeCell ref="K38:L38"/>
    <mergeCell ref="C39:D39"/>
    <mergeCell ref="E39:F39"/>
    <mergeCell ref="G39:H39"/>
    <mergeCell ref="I39:J39"/>
    <mergeCell ref="K39:L39"/>
    <mergeCell ref="C46:F46"/>
    <mergeCell ref="G46:L46"/>
    <mergeCell ref="C47:F47"/>
    <mergeCell ref="G47:L47"/>
    <mergeCell ref="B48:L48"/>
    <mergeCell ref="C40:D40"/>
    <mergeCell ref="E40:F40"/>
    <mergeCell ref="G40:H40"/>
    <mergeCell ref="I40:J40"/>
    <mergeCell ref="K40:L40"/>
    <mergeCell ref="B41:L41"/>
    <mergeCell ref="C42:F42"/>
    <mergeCell ref="G42:L42"/>
    <mergeCell ref="C43:F43"/>
    <mergeCell ref="G43:L43"/>
    <mergeCell ref="C59:L59"/>
    <mergeCell ref="C60:L60"/>
    <mergeCell ref="C61:L61"/>
    <mergeCell ref="B65:C65"/>
    <mergeCell ref="D65:G65"/>
    <mergeCell ref="J65:L65"/>
    <mergeCell ref="B66:D66"/>
    <mergeCell ref="H66:L66"/>
    <mergeCell ref="B10:D10"/>
    <mergeCell ref="E10:J10"/>
    <mergeCell ref="K10:L10"/>
    <mergeCell ref="C49:L49"/>
    <mergeCell ref="C50:L50"/>
    <mergeCell ref="C51:L51"/>
    <mergeCell ref="C52:L52"/>
    <mergeCell ref="C53:L53"/>
    <mergeCell ref="C54:L54"/>
    <mergeCell ref="B55:I55"/>
    <mergeCell ref="K55:L55"/>
    <mergeCell ref="C56:L56"/>
    <mergeCell ref="C44:F44"/>
    <mergeCell ref="G44:L44"/>
    <mergeCell ref="C45:F45"/>
    <mergeCell ref="G45:L45"/>
  </mergeCells>
  <printOptions horizontalCentered="1" verticalCentered="1"/>
  <pageMargins left="0.19685039370078741" right="0.19685039370078741" top="0.19685039370078741" bottom="0.19685039370078741" header="0.31496062992125984" footer="0.31496062992125984"/>
  <pageSetup paperSize="9" scale="9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'0F Lj'!$D$73:$D$79</xm:f>
          </x14:formula1>
          <xm:sqref>E10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7">
    <tabColor rgb="FFFFFF00"/>
  </sheetPr>
  <dimension ref="B1:G56"/>
  <sheetViews>
    <sheetView showGridLines="0" zoomScale="120" zoomScaleNormal="120" workbookViewId="0">
      <selection activeCell="E17" sqref="E17"/>
    </sheetView>
  </sheetViews>
  <sheetFormatPr defaultColWidth="9.1796875" defaultRowHeight="12.5"/>
  <cols>
    <col min="1" max="1" width="1.1796875" style="52" customWidth="1"/>
    <col min="2" max="2" width="32.81640625" style="52" customWidth="1"/>
    <col min="3" max="3" width="11.26953125" style="52" customWidth="1"/>
    <col min="4" max="4" width="27.1796875" style="52" customWidth="1"/>
    <col min="5" max="5" width="26.54296875" style="52" customWidth="1"/>
    <col min="6" max="16384" width="9.1796875" style="52"/>
  </cols>
  <sheetData>
    <row r="1" spans="2:7" ht="13" thickBot="1"/>
    <row r="2" spans="2:7" ht="27.75" customHeight="1" thickBot="1">
      <c r="B2" s="2101" t="str">
        <f>'9PG Projetista'!B2:C2</f>
        <v>Razão Social da Loja</v>
      </c>
      <c r="C2" s="2102"/>
      <c r="D2" s="2103" t="str">
        <f>'9PG Projetista'!D2:E2</f>
        <v>Nome Fantasia Loja</v>
      </c>
      <c r="E2" s="2104"/>
    </row>
    <row r="3" spans="2:7">
      <c r="B3" s="184"/>
      <c r="E3" s="276">
        <f ca="1">TODAY()</f>
        <v>46153</v>
      </c>
    </row>
    <row r="4" spans="2:7" ht="1.5" customHeight="1" thickBot="1">
      <c r="B4" s="184"/>
      <c r="E4" s="245"/>
    </row>
    <row r="5" spans="2:7" ht="16" thickBot="1">
      <c r="B5" s="277" t="str">
        <f>'10Ficha montagem'!B10</f>
        <v>Nome Montador :</v>
      </c>
      <c r="C5" s="2205" t="str">
        <f>'10Ficha montagem'!E10</f>
        <v>montador 1</v>
      </c>
      <c r="D5" s="2206"/>
      <c r="E5" s="278" t="str">
        <f>'10Ficha montagem'!K10</f>
        <v>CPF 53727602996</v>
      </c>
    </row>
    <row r="6" spans="2:7" ht="13" thickBot="1">
      <c r="B6" s="184"/>
      <c r="D6" s="269"/>
      <c r="E6" s="245"/>
    </row>
    <row r="7" spans="2:7" ht="16" thickBot="1">
      <c r="B7" s="279" t="str">
        <f>'1FComprador'!$K$5</f>
        <v>DG-0625-01</v>
      </c>
      <c r="C7" s="246" t="s">
        <v>531</v>
      </c>
      <c r="D7" s="2204" t="str">
        <f>IF('1FComprador'!D12&lt;&gt;"",'1FComprador'!D12,"")</f>
        <v/>
      </c>
      <c r="E7" s="2106"/>
    </row>
    <row r="8" spans="2:7" ht="13" thickBot="1">
      <c r="B8" s="184"/>
      <c r="C8" s="707"/>
      <c r="D8" s="269"/>
      <c r="E8" s="245"/>
    </row>
    <row r="9" spans="2:7" ht="13" thickBot="1">
      <c r="B9" s="2207" t="str">
        <f>'1FComprador'!C47&amp;", "&amp;'1FComprador'!C48&amp;", "&amp;'1FComprador'!C49&amp;", "&amp;'1FComprador'!C50&amp;", "&amp;'1FComprador'!C51&amp;"," &amp;'1FComprador'!C52</f>
        <v xml:space="preserve">Banheiro Social, Banheiro Suite, Cozinha e Lavanderia, Sala com Estante Metalon,   ,  </v>
      </c>
      <c r="C9" s="2208"/>
      <c r="D9" s="2208"/>
      <c r="E9" s="2209"/>
    </row>
    <row r="10" spans="2:7" ht="13" thickBot="1">
      <c r="B10" s="184"/>
      <c r="C10" s="707"/>
      <c r="D10" s="269"/>
      <c r="E10" s="245"/>
    </row>
    <row r="11" spans="2:7" ht="16" thickBot="1">
      <c r="B11" s="279" t="str">
        <f>'1FComprador'!B9:D9</f>
        <v>Vendedor 1</v>
      </c>
      <c r="C11" s="280" t="s">
        <v>472</v>
      </c>
      <c r="D11" s="281" t="str">
        <f>'14 Pers.'!O13</f>
        <v>Valor Venda à Vista - RT</v>
      </c>
      <c r="E11" s="248">
        <f>'14 Pers.'!R13</f>
        <v>26500</v>
      </c>
    </row>
    <row r="12" spans="2:7">
      <c r="B12" s="184"/>
      <c r="E12" s="245"/>
      <c r="G12" s="892"/>
    </row>
    <row r="13" spans="2:7" ht="15.5">
      <c r="B13" s="251" t="s">
        <v>483</v>
      </c>
      <c r="C13" s="252" t="s">
        <v>532</v>
      </c>
      <c r="D13" s="252" t="s">
        <v>484</v>
      </c>
      <c r="E13" s="253" t="s">
        <v>485</v>
      </c>
    </row>
    <row r="14" spans="2:7" ht="15.5">
      <c r="B14" s="282" t="str">
        <f>IF(C14&lt;1%,"  "," Montagem % Valor de Fábrica")</f>
        <v xml:space="preserve">  </v>
      </c>
      <c r="C14" s="900">
        <f>'0F Lj'!C53</f>
        <v>0</v>
      </c>
      <c r="D14" s="283">
        <f>'14 Pers.'!$T$30</f>
        <v>0</v>
      </c>
      <c r="E14" s="285"/>
    </row>
    <row r="15" spans="2:7" ht="15.5">
      <c r="B15" s="282" t="str">
        <f>IF(C15&lt;1%,"  "," Montagem % Valor Venda a Vista-RT")</f>
        <v xml:space="preserve"> Montagem % Valor Venda a Vista-RT</v>
      </c>
      <c r="C15" s="900">
        <f>'0F Lj'!C54</f>
        <v>0.1</v>
      </c>
      <c r="D15" s="283">
        <f>ROUNDUP(SUM('14 Pers.'!$R$13*C15),0)</f>
        <v>2650</v>
      </c>
      <c r="E15" s="285"/>
    </row>
    <row r="16" spans="2:7" ht="15.5">
      <c r="B16" s="259"/>
      <c r="C16" s="901"/>
      <c r="D16" s="283"/>
      <c r="E16" s="285"/>
    </row>
    <row r="17" spans="2:5" ht="15.5">
      <c r="B17" s="284"/>
      <c r="C17" s="901"/>
      <c r="D17" s="283"/>
      <c r="E17" s="285"/>
    </row>
    <row r="18" spans="2:5" ht="15.5">
      <c r="B18" s="259"/>
      <c r="C18" s="901"/>
      <c r="D18" s="283"/>
      <c r="E18" s="285"/>
    </row>
    <row r="19" spans="2:5" ht="15.5">
      <c r="B19" s="259"/>
      <c r="C19" s="901"/>
      <c r="D19" s="283"/>
      <c r="E19" s="285"/>
    </row>
    <row r="20" spans="2:5" ht="15.5">
      <c r="B20" s="284"/>
      <c r="C20" s="901"/>
      <c r="D20" s="283"/>
      <c r="E20" s="285"/>
    </row>
    <row r="21" spans="2:5" ht="15.5">
      <c r="B21" s="284"/>
      <c r="C21" s="901"/>
      <c r="D21" s="283"/>
      <c r="E21" s="285"/>
    </row>
    <row r="22" spans="2:5" ht="15.5">
      <c r="B22" s="259"/>
      <c r="C22" s="901"/>
      <c r="D22" s="283"/>
      <c r="E22" s="285"/>
    </row>
    <row r="23" spans="2:5" ht="15.5">
      <c r="B23" s="259" t="s">
        <v>533</v>
      </c>
      <c r="C23" s="901"/>
      <c r="D23" s="283"/>
      <c r="E23" s="285"/>
    </row>
    <row r="24" spans="2:5" ht="15.5">
      <c r="B24" s="259"/>
      <c r="C24" s="901"/>
      <c r="D24" s="283"/>
      <c r="E24" s="285"/>
    </row>
    <row r="25" spans="2:5" ht="15.5">
      <c r="B25" s="259"/>
      <c r="C25" s="901"/>
      <c r="D25" s="283"/>
      <c r="E25" s="285"/>
    </row>
    <row r="26" spans="2:5" ht="15.5">
      <c r="B26" s="259"/>
      <c r="C26" s="901"/>
      <c r="D26" s="283"/>
      <c r="E26" s="285"/>
    </row>
    <row r="27" spans="2:5" ht="15.5">
      <c r="B27" s="282"/>
      <c r="C27" s="900"/>
      <c r="D27" s="283"/>
      <c r="E27" s="285"/>
    </row>
    <row r="28" spans="2:5" ht="15.5">
      <c r="B28" s="251" t="s">
        <v>514</v>
      </c>
      <c r="C28" s="260">
        <f>SUM(C14:C16)</f>
        <v>0.1</v>
      </c>
      <c r="D28" s="902">
        <f>ROUNDUP(SUM(D14:D27),0)</f>
        <v>2650</v>
      </c>
      <c r="E28" s="903">
        <f>ROUNDUP(SUM(E14:E27),0)</f>
        <v>0</v>
      </c>
    </row>
    <row r="29" spans="2:5" ht="15.5">
      <c r="B29" s="2132"/>
      <c r="C29" s="2133"/>
      <c r="D29" s="2133"/>
      <c r="E29" s="2134"/>
    </row>
    <row r="30" spans="2:5" ht="15.5">
      <c r="B30" s="2200" t="s">
        <v>534</v>
      </c>
      <c r="C30" s="2201"/>
      <c r="D30" s="2202">
        <f>D28-E28</f>
        <v>2650</v>
      </c>
      <c r="E30" s="2203"/>
    </row>
    <row r="31" spans="2:5">
      <c r="B31" s="741"/>
      <c r="C31" s="742"/>
      <c r="D31" s="742"/>
      <c r="E31" s="743"/>
    </row>
    <row r="32" spans="2:5">
      <c r="B32" s="184"/>
      <c r="E32" s="245"/>
    </row>
    <row r="33" spans="2:5" s="261" customFormat="1" ht="15.5">
      <c r="B33" s="2129" t="s">
        <v>535</v>
      </c>
      <c r="C33" s="2130"/>
      <c r="D33" s="2130"/>
      <c r="E33" s="2131"/>
    </row>
    <row r="34" spans="2:5" ht="15.5">
      <c r="B34" s="262"/>
      <c r="C34" s="217"/>
      <c r="D34" s="217"/>
      <c r="E34" s="263"/>
    </row>
    <row r="35" spans="2:5" s="261" customFormat="1" ht="15.5">
      <c r="B35" s="2129" t="s">
        <v>536</v>
      </c>
      <c r="C35" s="2130"/>
      <c r="D35" s="2130"/>
      <c r="E35" s="2131"/>
    </row>
    <row r="36" spans="2:5" ht="15.5">
      <c r="B36" s="262"/>
      <c r="C36" s="217"/>
      <c r="D36" s="217"/>
      <c r="E36" s="263"/>
    </row>
    <row r="37" spans="2:5" s="261" customFormat="1" ht="15.5">
      <c r="B37" s="2124" t="s">
        <v>537</v>
      </c>
      <c r="C37" s="2125"/>
      <c r="D37" s="2125"/>
      <c r="E37" s="2126"/>
    </row>
    <row r="38" spans="2:5" ht="15.5">
      <c r="B38" s="262"/>
      <c r="C38" s="217"/>
      <c r="D38" s="217"/>
      <c r="E38" s="263"/>
    </row>
    <row r="39" spans="2:5" s="261" customFormat="1" ht="15.5">
      <c r="B39" s="2116" t="s">
        <v>519</v>
      </c>
      <c r="C39" s="2117"/>
      <c r="D39" s="2117"/>
      <c r="E39" s="2118"/>
    </row>
    <row r="40" spans="2:5" ht="15.5">
      <c r="B40" s="262"/>
      <c r="C40" s="217"/>
      <c r="D40" s="217"/>
      <c r="E40" s="263"/>
    </row>
    <row r="41" spans="2:5" ht="15.5">
      <c r="B41" s="262" t="s">
        <v>520</v>
      </c>
      <c r="C41" s="217"/>
      <c r="D41" s="217"/>
      <c r="E41" s="263"/>
    </row>
    <row r="42" spans="2:5" ht="15.5">
      <c r="B42" s="262"/>
      <c r="C42" s="217"/>
      <c r="D42" s="217"/>
      <c r="E42" s="263"/>
    </row>
    <row r="43" spans="2:5" ht="15.5">
      <c r="B43" s="704"/>
      <c r="C43" s="705"/>
      <c r="E43" s="286"/>
    </row>
    <row r="44" spans="2:5" ht="15.5">
      <c r="B44" s="262"/>
      <c r="C44" s="217"/>
      <c r="D44" s="2130" t="str">
        <f ca="1">'0F Lj'!D18&amp;", "&amp;TEXT($E$3,"dd")&amp;" de "&amp;TEXT($E$3,"mmmm")&amp;" de "&amp;TEXT($E$3,"AAAA")&amp;". "</f>
        <v xml:space="preserve">Cidade da Loja, 11 de maio de 2026. </v>
      </c>
      <c r="E44" s="2131"/>
    </row>
    <row r="45" spans="2:5" ht="15.5">
      <c r="B45" s="262"/>
      <c r="C45" s="217"/>
      <c r="D45" s="217"/>
      <c r="E45" s="263"/>
    </row>
    <row r="46" spans="2:5" ht="15.5">
      <c r="B46" s="262"/>
      <c r="C46" s="217"/>
      <c r="D46" s="217"/>
      <c r="E46" s="263"/>
    </row>
    <row r="47" spans="2:5" ht="21" customHeight="1">
      <c r="B47" s="704"/>
      <c r="C47" s="705"/>
      <c r="D47" s="705"/>
      <c r="E47" s="706"/>
    </row>
    <row r="48" spans="2:5" ht="15.5">
      <c r="B48" s="2116" t="s">
        <v>521</v>
      </c>
      <c r="C48" s="2117"/>
      <c r="D48" s="2117"/>
      <c r="E48" s="2118"/>
    </row>
    <row r="49" spans="2:5" ht="14">
      <c r="B49" s="2198" t="str">
        <f>C5</f>
        <v>montador 1</v>
      </c>
      <c r="C49" s="2199"/>
      <c r="D49" s="2199"/>
      <c r="E49" s="287" t="str">
        <f>E5</f>
        <v>CPF 53727602996</v>
      </c>
    </row>
    <row r="50" spans="2:5" ht="16" thickBot="1">
      <c r="B50" s="2194"/>
      <c r="C50" s="2195"/>
      <c r="D50" s="2195"/>
      <c r="E50" s="2196"/>
    </row>
    <row r="51" spans="2:5" s="216" customFormat="1" ht="11.5">
      <c r="B51" s="709" t="s">
        <v>538</v>
      </c>
      <c r="C51" s="268" t="s">
        <v>121</v>
      </c>
      <c r="D51" s="2197" t="str">
        <f>'0F Lj'!D80</f>
        <v xml:space="preserve"> Sistema ByDesigner Desenvolvido Neri (21) 97014-2420</v>
      </c>
      <c r="E51" s="2197"/>
    </row>
    <row r="56" spans="2:5">
      <c r="B56" s="288"/>
    </row>
  </sheetData>
  <sheetProtection algorithmName="SHA-512" hashValue="vdgTTF6UyzUVHWlsO2r1XKf4/OmHEa+0IeTkJA0PB6rshxqj32W3wb3r/PHzd3srIFszp9iUy4Io+wlhsmUtNg==" saltValue="fsiISOT6XmfGaRGFKb5n/Q==" spinCount="100000" sheet="1" objects="1" scenarios="1"/>
  <mergeCells count="17">
    <mergeCell ref="B2:C2"/>
    <mergeCell ref="D2:E2"/>
    <mergeCell ref="B48:E48"/>
    <mergeCell ref="B30:C30"/>
    <mergeCell ref="D30:E30"/>
    <mergeCell ref="B29:E29"/>
    <mergeCell ref="D7:E7"/>
    <mergeCell ref="C5:D5"/>
    <mergeCell ref="B9:E9"/>
    <mergeCell ref="B50:E50"/>
    <mergeCell ref="D51:E51"/>
    <mergeCell ref="B33:E33"/>
    <mergeCell ref="B35:E35"/>
    <mergeCell ref="B37:E37"/>
    <mergeCell ref="B39:E39"/>
    <mergeCell ref="D44:E44"/>
    <mergeCell ref="B49:D49"/>
  </mergeCells>
  <conditionalFormatting sqref="C14:D15">
    <cfRule type="cellIs" dxfId="0" priority="1" operator="equal">
      <formula>0</formula>
    </cfRule>
  </conditionalFormatting>
  <printOptions horizontalCentered="1" verticalCentered="1"/>
  <pageMargins left="0.23622047244094491" right="0.2362204724409449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B1:O50"/>
  <sheetViews>
    <sheetView zoomScale="120" zoomScaleNormal="120" workbookViewId="0">
      <selection activeCell="M11" sqref="M11"/>
    </sheetView>
  </sheetViews>
  <sheetFormatPr defaultColWidth="9" defaultRowHeight="10"/>
  <cols>
    <col min="1" max="1" width="0.54296875" style="386" customWidth="1"/>
    <col min="2" max="2" width="10.54296875" style="386" customWidth="1"/>
    <col min="3" max="3" width="10.1796875" style="386" customWidth="1"/>
    <col min="4" max="4" width="12.26953125" style="386" customWidth="1"/>
    <col min="5" max="5" width="16.81640625" style="386" customWidth="1"/>
    <col min="6" max="6" width="11.7265625" style="386" customWidth="1"/>
    <col min="7" max="7" width="9" style="386"/>
    <col min="8" max="8" width="8.08984375" style="386" bestFit="1" customWidth="1"/>
    <col min="9" max="9" width="5.7265625" style="386" customWidth="1"/>
    <col min="10" max="11" width="8.7265625" style="386" bestFit="1" customWidth="1"/>
    <col min="12" max="12" width="9.453125" style="386" customWidth="1"/>
    <col min="13" max="13" width="8.08984375" style="386" bestFit="1" customWidth="1"/>
    <col min="14" max="14" width="18.26953125" style="386" customWidth="1"/>
    <col min="15" max="15" width="10.1796875" style="386" bestFit="1" customWidth="1"/>
    <col min="16" max="16384" width="9" style="386"/>
  </cols>
  <sheetData>
    <row r="1" spans="2:15" ht="10.5" thickBot="1"/>
    <row r="2" spans="2:15" ht="10.5" thickBot="1">
      <c r="B2" s="2210" t="str">
        <f>'0F Lj'!D12</f>
        <v>Razão Social da Loja</v>
      </c>
      <c r="C2" s="2212"/>
      <c r="D2" s="2211"/>
      <c r="E2" s="425" t="s">
        <v>539</v>
      </c>
      <c r="F2" s="2210" t="str">
        <f>'[7]F Lj'!$F$15</f>
        <v>Méier</v>
      </c>
      <c r="G2" s="2211"/>
      <c r="H2" s="710" t="s">
        <v>459</v>
      </c>
      <c r="I2" s="710" t="s">
        <v>540</v>
      </c>
      <c r="J2" s="710" t="s">
        <v>459</v>
      </c>
      <c r="K2" s="425" t="s">
        <v>234</v>
      </c>
      <c r="L2" s="426" t="s">
        <v>541</v>
      </c>
      <c r="M2" s="425" t="s">
        <v>234</v>
      </c>
      <c r="N2" s="425" t="s">
        <v>542</v>
      </c>
    </row>
    <row r="3" spans="2:15" ht="10.5" thickBot="1">
      <c r="B3" s="422" t="s">
        <v>543</v>
      </c>
      <c r="C3" s="423" t="s">
        <v>234</v>
      </c>
      <c r="D3" s="422" t="s">
        <v>544</v>
      </c>
      <c r="E3" s="423" t="s">
        <v>531</v>
      </c>
      <c r="F3" s="422" t="s">
        <v>545</v>
      </c>
      <c r="G3" s="422" t="s">
        <v>546</v>
      </c>
      <c r="H3" s="424" t="s">
        <v>547</v>
      </c>
      <c r="I3" s="424" t="s">
        <v>548</v>
      </c>
      <c r="J3" s="424" t="s">
        <v>548</v>
      </c>
      <c r="K3" s="422" t="s">
        <v>549</v>
      </c>
      <c r="L3" s="423" t="s">
        <v>524</v>
      </c>
      <c r="M3" s="422" t="s">
        <v>549</v>
      </c>
      <c r="N3" s="422" t="s">
        <v>550</v>
      </c>
    </row>
    <row r="4" spans="2:15">
      <c r="B4" s="421" t="s">
        <v>551</v>
      </c>
      <c r="C4" s="420" t="s">
        <v>46</v>
      </c>
      <c r="D4" s="420" t="s">
        <v>552</v>
      </c>
      <c r="E4" s="420" t="s">
        <v>553</v>
      </c>
      <c r="F4" s="420" t="s">
        <v>554</v>
      </c>
      <c r="G4" s="419">
        <v>15005.4</v>
      </c>
      <c r="H4" s="416">
        <v>45385</v>
      </c>
      <c r="I4" s="418">
        <v>30</v>
      </c>
      <c r="J4" s="417">
        <f>H4+I4</f>
        <v>45415</v>
      </c>
      <c r="K4" s="416">
        <v>45390</v>
      </c>
      <c r="L4" s="415" t="s">
        <v>555</v>
      </c>
      <c r="M4" s="414">
        <v>45390</v>
      </c>
      <c r="N4" s="413"/>
    </row>
    <row r="5" spans="2:15">
      <c r="B5" s="412" t="s">
        <v>556</v>
      </c>
      <c r="C5" s="411" t="s">
        <v>46</v>
      </c>
      <c r="D5" s="411" t="s">
        <v>557</v>
      </c>
      <c r="E5" s="411" t="s">
        <v>558</v>
      </c>
      <c r="F5" s="411" t="s">
        <v>559</v>
      </c>
      <c r="G5" s="410">
        <v>4059.63</v>
      </c>
      <c r="H5" s="400">
        <v>45354</v>
      </c>
      <c r="I5" s="406">
        <v>210</v>
      </c>
      <c r="J5" s="405">
        <f>H5+I5</f>
        <v>45564</v>
      </c>
      <c r="K5" s="400"/>
      <c r="L5" s="409" t="s">
        <v>560</v>
      </c>
      <c r="M5" s="398"/>
      <c r="N5" s="408"/>
    </row>
    <row r="6" spans="2:15">
      <c r="B6" s="404"/>
      <c r="C6" s="403"/>
      <c r="D6" s="403"/>
      <c r="E6" s="403"/>
      <c r="F6" s="403"/>
      <c r="G6" s="403"/>
      <c r="H6" s="403"/>
      <c r="I6" s="406"/>
      <c r="J6" s="405"/>
      <c r="K6" s="400"/>
      <c r="L6" s="399"/>
      <c r="M6" s="398"/>
      <c r="N6" s="397"/>
      <c r="O6" s="407"/>
    </row>
    <row r="7" spans="2:15">
      <c r="B7" s="404"/>
      <c r="C7" s="403"/>
      <c r="D7" s="403"/>
      <c r="E7" s="403"/>
      <c r="F7" s="403"/>
      <c r="G7" s="403"/>
      <c r="H7" s="403"/>
      <c r="I7" s="406"/>
      <c r="J7" s="405"/>
      <c r="K7" s="400"/>
      <c r="L7" s="399"/>
      <c r="M7" s="398"/>
      <c r="N7" s="397"/>
    </row>
    <row r="8" spans="2:15">
      <c r="B8" s="404"/>
      <c r="C8" s="403"/>
      <c r="D8" s="403"/>
      <c r="E8" s="403"/>
      <c r="F8" s="403"/>
      <c r="G8" s="403"/>
      <c r="H8" s="403"/>
      <c r="I8" s="406"/>
      <c r="J8" s="405"/>
      <c r="K8" s="400"/>
      <c r="L8" s="399"/>
      <c r="M8" s="398"/>
      <c r="N8" s="397"/>
    </row>
    <row r="9" spans="2:15">
      <c r="B9" s="404"/>
      <c r="C9" s="403"/>
      <c r="D9" s="403"/>
      <c r="E9" s="403"/>
      <c r="F9" s="403"/>
      <c r="G9" s="403"/>
      <c r="H9" s="403"/>
      <c r="I9" s="406"/>
      <c r="J9" s="405"/>
      <c r="K9" s="400"/>
      <c r="L9" s="399"/>
      <c r="M9" s="398"/>
      <c r="N9" s="397"/>
    </row>
    <row r="10" spans="2:15">
      <c r="B10" s="404"/>
      <c r="C10" s="403"/>
      <c r="D10" s="403"/>
      <c r="E10" s="403"/>
      <c r="F10" s="403"/>
      <c r="G10" s="403"/>
      <c r="H10" s="403"/>
      <c r="I10" s="406"/>
      <c r="J10" s="405"/>
      <c r="K10" s="400"/>
      <c r="L10" s="399"/>
      <c r="M10" s="398"/>
      <c r="N10" s="397"/>
    </row>
    <row r="11" spans="2:15">
      <c r="B11" s="404"/>
      <c r="C11" s="403"/>
      <c r="D11" s="403"/>
      <c r="E11" s="403"/>
      <c r="F11" s="403"/>
      <c r="G11" s="403"/>
      <c r="H11" s="403"/>
      <c r="I11" s="406"/>
      <c r="J11" s="405"/>
      <c r="K11" s="400"/>
      <c r="L11" s="399"/>
      <c r="M11" s="398"/>
      <c r="N11" s="397"/>
    </row>
    <row r="12" spans="2:15">
      <c r="B12" s="404"/>
      <c r="C12" s="403"/>
      <c r="D12" s="403"/>
      <c r="E12" s="403"/>
      <c r="F12" s="403"/>
      <c r="G12" s="403"/>
      <c r="H12" s="403"/>
      <c r="I12" s="406"/>
      <c r="J12" s="405"/>
      <c r="K12" s="400"/>
      <c r="L12" s="399"/>
      <c r="M12" s="398"/>
      <c r="N12" s="397"/>
    </row>
    <row r="13" spans="2:15">
      <c r="B13" s="404"/>
      <c r="C13" s="403"/>
      <c r="D13" s="403"/>
      <c r="E13" s="403"/>
      <c r="F13" s="403"/>
      <c r="G13" s="403"/>
      <c r="H13" s="403"/>
      <c r="I13" s="406"/>
      <c r="J13" s="405"/>
      <c r="K13" s="400"/>
      <c r="L13" s="399"/>
      <c r="M13" s="398"/>
      <c r="N13" s="397"/>
    </row>
    <row r="14" spans="2:15">
      <c r="B14" s="404"/>
      <c r="C14" s="403"/>
      <c r="D14" s="403"/>
      <c r="E14" s="403"/>
      <c r="F14" s="403"/>
      <c r="G14" s="403"/>
      <c r="H14" s="403"/>
      <c r="I14" s="406"/>
      <c r="J14" s="405"/>
      <c r="K14" s="400"/>
      <c r="L14" s="399"/>
      <c r="M14" s="398"/>
      <c r="N14" s="397"/>
    </row>
    <row r="15" spans="2:15">
      <c r="B15" s="404"/>
      <c r="C15" s="403"/>
      <c r="D15" s="403"/>
      <c r="E15" s="403"/>
      <c r="F15" s="403"/>
      <c r="G15" s="403"/>
      <c r="H15" s="403"/>
      <c r="I15" s="406"/>
      <c r="J15" s="405"/>
      <c r="K15" s="400"/>
      <c r="L15" s="399"/>
      <c r="M15" s="398"/>
      <c r="N15" s="397"/>
    </row>
    <row r="16" spans="2:15">
      <c r="B16" s="404"/>
      <c r="C16" s="403"/>
      <c r="D16" s="403"/>
      <c r="E16" s="403"/>
      <c r="F16" s="403"/>
      <c r="G16" s="403"/>
      <c r="H16" s="403"/>
      <c r="I16" s="406"/>
      <c r="J16" s="405"/>
      <c r="K16" s="400"/>
      <c r="L16" s="399"/>
      <c r="M16" s="398"/>
      <c r="N16" s="397"/>
    </row>
    <row r="17" spans="2:14">
      <c r="B17" s="404"/>
      <c r="C17" s="403"/>
      <c r="D17" s="403"/>
      <c r="E17" s="403"/>
      <c r="F17" s="403"/>
      <c r="G17" s="403"/>
      <c r="H17" s="403"/>
      <c r="I17" s="402"/>
      <c r="J17" s="405"/>
      <c r="K17" s="400"/>
      <c r="L17" s="399"/>
      <c r="M17" s="398"/>
      <c r="N17" s="397"/>
    </row>
    <row r="18" spans="2:14">
      <c r="B18" s="404"/>
      <c r="C18" s="403"/>
      <c r="D18" s="403"/>
      <c r="E18" s="403"/>
      <c r="F18" s="403"/>
      <c r="G18" s="403"/>
      <c r="H18" s="403"/>
      <c r="I18" s="402"/>
      <c r="J18" s="405"/>
      <c r="K18" s="400"/>
      <c r="L18" s="399"/>
      <c r="M18" s="398"/>
      <c r="N18" s="397"/>
    </row>
    <row r="19" spans="2:14">
      <c r="B19" s="404"/>
      <c r="C19" s="403"/>
      <c r="D19" s="403"/>
      <c r="E19" s="403"/>
      <c r="F19" s="403"/>
      <c r="G19" s="403"/>
      <c r="H19" s="403"/>
      <c r="I19" s="402"/>
      <c r="J19" s="405"/>
      <c r="K19" s="400"/>
      <c r="L19" s="399"/>
      <c r="M19" s="398"/>
      <c r="N19" s="397"/>
    </row>
    <row r="20" spans="2:14">
      <c r="B20" s="404"/>
      <c r="C20" s="403"/>
      <c r="D20" s="403"/>
      <c r="E20" s="403"/>
      <c r="F20" s="403"/>
      <c r="G20" s="403"/>
      <c r="H20" s="403"/>
      <c r="I20" s="402"/>
      <c r="J20" s="405"/>
      <c r="K20" s="400"/>
      <c r="L20" s="399"/>
      <c r="M20" s="398"/>
      <c r="N20" s="397"/>
    </row>
    <row r="21" spans="2:14">
      <c r="B21" s="404"/>
      <c r="C21" s="403"/>
      <c r="D21" s="403"/>
      <c r="E21" s="403"/>
      <c r="F21" s="403"/>
      <c r="G21" s="403"/>
      <c r="H21" s="403"/>
      <c r="I21" s="402"/>
      <c r="J21" s="405"/>
      <c r="K21" s="400"/>
      <c r="L21" s="399"/>
      <c r="M21" s="398"/>
      <c r="N21" s="397"/>
    </row>
    <row r="22" spans="2:14">
      <c r="B22" s="404"/>
      <c r="C22" s="403"/>
      <c r="D22" s="403"/>
      <c r="E22" s="403"/>
      <c r="F22" s="403"/>
      <c r="G22" s="403"/>
      <c r="H22" s="403"/>
      <c r="I22" s="402"/>
      <c r="J22" s="405"/>
      <c r="K22" s="400"/>
      <c r="L22" s="399"/>
      <c r="M22" s="398"/>
      <c r="N22" s="397"/>
    </row>
    <row r="23" spans="2:14">
      <c r="B23" s="404"/>
      <c r="C23" s="403"/>
      <c r="D23" s="403"/>
      <c r="E23" s="403"/>
      <c r="F23" s="403"/>
      <c r="G23" s="403"/>
      <c r="H23" s="403"/>
      <c r="I23" s="402"/>
      <c r="J23" s="405"/>
      <c r="K23" s="400"/>
      <c r="L23" s="399"/>
      <c r="M23" s="398"/>
      <c r="N23" s="397"/>
    </row>
    <row r="24" spans="2:14">
      <c r="B24" s="404"/>
      <c r="C24" s="403"/>
      <c r="D24" s="403"/>
      <c r="E24" s="403"/>
      <c r="F24" s="403"/>
      <c r="G24" s="403"/>
      <c r="H24" s="403"/>
      <c r="I24" s="402"/>
      <c r="J24" s="405"/>
      <c r="K24" s="400"/>
      <c r="L24" s="399"/>
      <c r="M24" s="398"/>
      <c r="N24" s="397"/>
    </row>
    <row r="25" spans="2:14">
      <c r="B25" s="404"/>
      <c r="C25" s="403"/>
      <c r="D25" s="403"/>
      <c r="E25" s="403"/>
      <c r="F25" s="403"/>
      <c r="G25" s="403"/>
      <c r="H25" s="403"/>
      <c r="I25" s="402"/>
      <c r="J25" s="405"/>
      <c r="K25" s="400"/>
      <c r="L25" s="399"/>
      <c r="M25" s="398"/>
      <c r="N25" s="397"/>
    </row>
    <row r="26" spans="2:14">
      <c r="B26" s="404"/>
      <c r="C26" s="403"/>
      <c r="D26" s="403"/>
      <c r="E26" s="403"/>
      <c r="F26" s="403"/>
      <c r="G26" s="403"/>
      <c r="H26" s="403"/>
      <c r="I26" s="402"/>
      <c r="J26" s="401"/>
      <c r="K26" s="400"/>
      <c r="L26" s="399"/>
      <c r="M26" s="398"/>
      <c r="N26" s="397"/>
    </row>
    <row r="27" spans="2:14">
      <c r="B27" s="404"/>
      <c r="C27" s="403"/>
      <c r="D27" s="403"/>
      <c r="E27" s="403"/>
      <c r="F27" s="403"/>
      <c r="G27" s="403"/>
      <c r="H27" s="403"/>
      <c r="I27" s="402"/>
      <c r="J27" s="401"/>
      <c r="K27" s="400"/>
      <c r="L27" s="399"/>
      <c r="M27" s="398"/>
      <c r="N27" s="397"/>
    </row>
    <row r="28" spans="2:14">
      <c r="B28" s="404"/>
      <c r="C28" s="403"/>
      <c r="D28" s="403"/>
      <c r="E28" s="403"/>
      <c r="F28" s="403"/>
      <c r="G28" s="403"/>
      <c r="H28" s="403"/>
      <c r="I28" s="402"/>
      <c r="J28" s="401"/>
      <c r="K28" s="400"/>
      <c r="L28" s="399"/>
      <c r="M28" s="398"/>
      <c r="N28" s="397"/>
    </row>
    <row r="29" spans="2:14">
      <c r="B29" s="404"/>
      <c r="C29" s="403"/>
      <c r="D29" s="403"/>
      <c r="E29" s="403"/>
      <c r="F29" s="403"/>
      <c r="G29" s="403"/>
      <c r="H29" s="403"/>
      <c r="I29" s="402"/>
      <c r="J29" s="401"/>
      <c r="K29" s="400"/>
      <c r="L29" s="399"/>
      <c r="M29" s="398"/>
      <c r="N29" s="397"/>
    </row>
    <row r="30" spans="2:14">
      <c r="B30" s="404"/>
      <c r="C30" s="403"/>
      <c r="D30" s="403"/>
      <c r="E30" s="403"/>
      <c r="F30" s="403"/>
      <c r="G30" s="403"/>
      <c r="H30" s="403"/>
      <c r="I30" s="402"/>
      <c r="J30" s="401"/>
      <c r="K30" s="400"/>
      <c r="L30" s="399"/>
      <c r="M30" s="398"/>
      <c r="N30" s="397"/>
    </row>
    <row r="31" spans="2:14">
      <c r="B31" s="404"/>
      <c r="C31" s="403"/>
      <c r="D31" s="403"/>
      <c r="E31" s="403"/>
      <c r="F31" s="403"/>
      <c r="G31" s="403"/>
      <c r="H31" s="403"/>
      <c r="I31" s="402"/>
      <c r="J31" s="401"/>
      <c r="K31" s="400"/>
      <c r="L31" s="399"/>
      <c r="M31" s="398"/>
      <c r="N31" s="397"/>
    </row>
    <row r="32" spans="2:14">
      <c r="B32" s="404"/>
      <c r="C32" s="403"/>
      <c r="D32" s="403"/>
      <c r="E32" s="403"/>
      <c r="F32" s="403"/>
      <c r="G32" s="403"/>
      <c r="H32" s="403"/>
      <c r="I32" s="402"/>
      <c r="J32" s="401"/>
      <c r="K32" s="400"/>
      <c r="L32" s="399"/>
      <c r="M32" s="398"/>
      <c r="N32" s="397"/>
    </row>
    <row r="33" spans="2:14">
      <c r="B33" s="404"/>
      <c r="C33" s="403"/>
      <c r="D33" s="403"/>
      <c r="E33" s="403"/>
      <c r="F33" s="403"/>
      <c r="G33" s="403"/>
      <c r="H33" s="403"/>
      <c r="I33" s="402"/>
      <c r="J33" s="401"/>
      <c r="K33" s="400"/>
      <c r="L33" s="399"/>
      <c r="M33" s="398"/>
      <c r="N33" s="397"/>
    </row>
    <row r="34" spans="2:14">
      <c r="B34" s="404"/>
      <c r="C34" s="403"/>
      <c r="D34" s="403"/>
      <c r="E34" s="403"/>
      <c r="F34" s="403"/>
      <c r="G34" s="403"/>
      <c r="H34" s="403"/>
      <c r="I34" s="402"/>
      <c r="J34" s="401"/>
      <c r="K34" s="400"/>
      <c r="L34" s="399"/>
      <c r="M34" s="398"/>
      <c r="N34" s="397"/>
    </row>
    <row r="35" spans="2:14">
      <c r="B35" s="404"/>
      <c r="C35" s="403"/>
      <c r="D35" s="403"/>
      <c r="E35" s="403"/>
      <c r="F35" s="403"/>
      <c r="G35" s="403"/>
      <c r="H35" s="403"/>
      <c r="I35" s="402"/>
      <c r="J35" s="401"/>
      <c r="K35" s="400"/>
      <c r="L35" s="399"/>
      <c r="M35" s="398"/>
      <c r="N35" s="397"/>
    </row>
    <row r="36" spans="2:14">
      <c r="B36" s="404"/>
      <c r="C36" s="403"/>
      <c r="D36" s="403"/>
      <c r="E36" s="403"/>
      <c r="F36" s="403"/>
      <c r="G36" s="403"/>
      <c r="H36" s="403"/>
      <c r="I36" s="402"/>
      <c r="J36" s="401"/>
      <c r="K36" s="400"/>
      <c r="L36" s="399"/>
      <c r="M36" s="398"/>
      <c r="N36" s="397"/>
    </row>
    <row r="37" spans="2:14">
      <c r="B37" s="404"/>
      <c r="C37" s="403"/>
      <c r="D37" s="403"/>
      <c r="E37" s="403"/>
      <c r="F37" s="403"/>
      <c r="G37" s="403"/>
      <c r="H37" s="403"/>
      <c r="I37" s="402"/>
      <c r="J37" s="401"/>
      <c r="K37" s="400"/>
      <c r="L37" s="399"/>
      <c r="M37" s="398"/>
      <c r="N37" s="397"/>
    </row>
    <row r="38" spans="2:14">
      <c r="B38" s="404"/>
      <c r="C38" s="403"/>
      <c r="D38" s="403"/>
      <c r="E38" s="403"/>
      <c r="F38" s="403"/>
      <c r="G38" s="403"/>
      <c r="H38" s="403"/>
      <c r="I38" s="402"/>
      <c r="J38" s="401"/>
      <c r="K38" s="400"/>
      <c r="L38" s="399"/>
      <c r="M38" s="398"/>
      <c r="N38" s="397"/>
    </row>
    <row r="39" spans="2:14">
      <c r="B39" s="404"/>
      <c r="C39" s="403"/>
      <c r="D39" s="403"/>
      <c r="E39" s="403"/>
      <c r="F39" s="403"/>
      <c r="G39" s="403"/>
      <c r="H39" s="403"/>
      <c r="I39" s="402"/>
      <c r="J39" s="401"/>
      <c r="K39" s="400"/>
      <c r="L39" s="399"/>
      <c r="M39" s="398"/>
      <c r="N39" s="397"/>
    </row>
    <row r="40" spans="2:14">
      <c r="B40" s="404"/>
      <c r="C40" s="403"/>
      <c r="D40" s="403"/>
      <c r="E40" s="403"/>
      <c r="F40" s="403"/>
      <c r="G40" s="403"/>
      <c r="H40" s="403"/>
      <c r="I40" s="402"/>
      <c r="J40" s="401"/>
      <c r="K40" s="400"/>
      <c r="L40" s="399"/>
      <c r="M40" s="398"/>
      <c r="N40" s="397"/>
    </row>
    <row r="41" spans="2:14">
      <c r="B41" s="404"/>
      <c r="C41" s="403"/>
      <c r="D41" s="403"/>
      <c r="E41" s="403"/>
      <c r="F41" s="403"/>
      <c r="G41" s="403"/>
      <c r="H41" s="403"/>
      <c r="I41" s="402"/>
      <c r="J41" s="401"/>
      <c r="K41" s="400"/>
      <c r="L41" s="399"/>
      <c r="M41" s="398"/>
      <c r="N41" s="397"/>
    </row>
    <row r="42" spans="2:14">
      <c r="B42" s="404"/>
      <c r="C42" s="403"/>
      <c r="D42" s="403"/>
      <c r="E42" s="403"/>
      <c r="F42" s="403"/>
      <c r="G42" s="403"/>
      <c r="H42" s="403"/>
      <c r="I42" s="402"/>
      <c r="J42" s="401"/>
      <c r="K42" s="400"/>
      <c r="L42" s="399"/>
      <c r="M42" s="398"/>
      <c r="N42" s="397"/>
    </row>
    <row r="43" spans="2:14">
      <c r="B43" s="404"/>
      <c r="C43" s="403"/>
      <c r="D43" s="403"/>
      <c r="E43" s="403"/>
      <c r="F43" s="403"/>
      <c r="G43" s="403"/>
      <c r="H43" s="403"/>
      <c r="I43" s="402"/>
      <c r="J43" s="401"/>
      <c r="K43" s="400"/>
      <c r="L43" s="399"/>
      <c r="M43" s="398"/>
      <c r="N43" s="397"/>
    </row>
    <row r="44" spans="2:14">
      <c r="B44" s="404"/>
      <c r="C44" s="403"/>
      <c r="D44" s="403"/>
      <c r="E44" s="403"/>
      <c r="F44" s="403"/>
      <c r="G44" s="403"/>
      <c r="H44" s="403"/>
      <c r="I44" s="402"/>
      <c r="J44" s="401"/>
      <c r="K44" s="400"/>
      <c r="L44" s="399"/>
      <c r="M44" s="398"/>
      <c r="N44" s="397"/>
    </row>
    <row r="45" spans="2:14">
      <c r="B45" s="404"/>
      <c r="C45" s="403"/>
      <c r="D45" s="403"/>
      <c r="E45" s="403"/>
      <c r="F45" s="403"/>
      <c r="G45" s="403"/>
      <c r="H45" s="403"/>
      <c r="I45" s="402"/>
      <c r="J45" s="401"/>
      <c r="K45" s="400"/>
      <c r="L45" s="399"/>
      <c r="M45" s="398"/>
      <c r="N45" s="397"/>
    </row>
    <row r="46" spans="2:14">
      <c r="B46" s="404"/>
      <c r="C46" s="403"/>
      <c r="D46" s="403"/>
      <c r="E46" s="403"/>
      <c r="F46" s="403"/>
      <c r="G46" s="403"/>
      <c r="H46" s="403"/>
      <c r="I46" s="402"/>
      <c r="J46" s="401"/>
      <c r="K46" s="400"/>
      <c r="L46" s="399"/>
      <c r="M46" s="398"/>
      <c r="N46" s="397"/>
    </row>
    <row r="47" spans="2:14">
      <c r="B47" s="404"/>
      <c r="C47" s="403"/>
      <c r="D47" s="403"/>
      <c r="E47" s="403"/>
      <c r="F47" s="403"/>
      <c r="G47" s="403"/>
      <c r="H47" s="403"/>
      <c r="I47" s="402"/>
      <c r="J47" s="401"/>
      <c r="K47" s="400"/>
      <c r="L47" s="399"/>
      <c r="M47" s="398"/>
      <c r="N47" s="397"/>
    </row>
    <row r="48" spans="2:14">
      <c r="B48" s="404"/>
      <c r="C48" s="403"/>
      <c r="D48" s="403"/>
      <c r="E48" s="403"/>
      <c r="F48" s="403"/>
      <c r="G48" s="403"/>
      <c r="H48" s="403"/>
      <c r="I48" s="402"/>
      <c r="J48" s="401"/>
      <c r="K48" s="400"/>
      <c r="L48" s="399"/>
      <c r="M48" s="398"/>
      <c r="N48" s="397"/>
    </row>
    <row r="49" spans="2:14" ht="10.5" thickBot="1">
      <c r="B49" s="396"/>
      <c r="C49" s="395"/>
      <c r="D49" s="395"/>
      <c r="E49" s="395"/>
      <c r="F49" s="395"/>
      <c r="G49" s="395"/>
      <c r="H49" s="395"/>
      <c r="I49" s="394"/>
      <c r="J49" s="393"/>
      <c r="K49" s="392"/>
      <c r="L49" s="391"/>
      <c r="M49" s="390"/>
      <c r="N49" s="389"/>
    </row>
    <row r="50" spans="2:14" ht="12.75" customHeight="1">
      <c r="B50" s="2214" t="s">
        <v>561</v>
      </c>
      <c r="C50" s="2214"/>
      <c r="D50" s="2214"/>
      <c r="E50" s="387"/>
      <c r="F50" s="388" t="s">
        <v>121</v>
      </c>
      <c r="G50" s="387"/>
      <c r="H50" s="387"/>
      <c r="I50" s="387"/>
      <c r="J50" s="2213" t="str">
        <f>'0F Lj'!D80</f>
        <v xml:space="preserve"> Sistema ByDesigner Desenvolvido Neri (21) 97014-2420</v>
      </c>
      <c r="K50" s="2213"/>
      <c r="L50" s="2213"/>
      <c r="M50" s="2213"/>
      <c r="N50" s="2213"/>
    </row>
  </sheetData>
  <sheetProtection algorithmName="SHA-512" hashValue="c8p970V9234vs1NMDucUJJMtxUcyn1AZirBlmyXe6X54RFtW59WZHfCWDEcIlVwdc3qG4IfImG5c3jZsRMJ+dA==" saltValue="ntx0Yu0/R4Tc/QC65S2OuA==" spinCount="100000" sheet="1" objects="1" scenarios="1"/>
  <mergeCells count="4">
    <mergeCell ref="F2:G2"/>
    <mergeCell ref="B2:D2"/>
    <mergeCell ref="J50:N50"/>
    <mergeCell ref="B50:D50"/>
  </mergeCells>
  <printOptions horizontalCentered="1" verticalCentered="1"/>
  <pageMargins left="0" right="0" top="0.19685039370078741" bottom="0.19685039370078741" header="0.31496062992125984" footer="0.31496062992125984"/>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B1:I61"/>
  <sheetViews>
    <sheetView zoomScale="120" zoomScaleNormal="120" workbookViewId="0">
      <selection activeCell="J52" sqref="J52"/>
    </sheetView>
  </sheetViews>
  <sheetFormatPr defaultColWidth="9" defaultRowHeight="12.5"/>
  <cols>
    <col min="1" max="1" width="1.26953125" style="427" customWidth="1"/>
    <col min="2" max="2" width="26.54296875" style="427" customWidth="1"/>
    <col min="3" max="3" width="12.453125" style="427" customWidth="1"/>
    <col min="4" max="4" width="12.26953125" style="427" customWidth="1"/>
    <col min="5" max="5" width="20.453125" style="427" customWidth="1"/>
    <col min="6" max="6" width="17.7265625" style="427" customWidth="1"/>
    <col min="7" max="7" width="11.81640625" style="427" customWidth="1"/>
    <col min="8" max="16384" width="9" style="427"/>
  </cols>
  <sheetData>
    <row r="1" spans="2:7" ht="5.25" customHeight="1" thickBot="1"/>
    <row r="2" spans="2:7" ht="16.5" customHeight="1" thickBot="1">
      <c r="B2" s="2255" t="s">
        <v>562</v>
      </c>
      <c r="C2" s="2256"/>
      <c r="D2" s="2256"/>
      <c r="E2" s="2257"/>
      <c r="F2" s="2255" t="str">
        <f>'17 Resumo do Sistema'!J2</f>
        <v>Versão nº 22/07/2025</v>
      </c>
      <c r="G2" s="2257"/>
    </row>
    <row r="3" spans="2:7" ht="4.5" customHeight="1" thickBot="1"/>
    <row r="4" spans="2:7" ht="14.15" customHeight="1" thickBot="1">
      <c r="B4" s="2225" t="s">
        <v>563</v>
      </c>
      <c r="C4" s="2246"/>
      <c r="D4" s="2246"/>
      <c r="E4" s="2246"/>
      <c r="F4" s="2246"/>
      <c r="G4" s="2247"/>
    </row>
    <row r="5" spans="2:7" ht="14.15" customHeight="1" thickBot="1">
      <c r="B5" s="2225" t="s">
        <v>564</v>
      </c>
      <c r="C5" s="2246"/>
      <c r="D5" s="2246"/>
      <c r="E5" s="2246"/>
      <c r="F5" s="2246"/>
      <c r="G5" s="2247"/>
    </row>
    <row r="6" spans="2:7" ht="14.15" customHeight="1" thickBot="1">
      <c r="B6" s="2221" t="s">
        <v>565</v>
      </c>
      <c r="C6" s="2248"/>
      <c r="D6" s="2222"/>
      <c r="E6" s="2249" t="s">
        <v>566</v>
      </c>
      <c r="F6" s="2250"/>
      <c r="G6" s="2251"/>
    </row>
    <row r="7" spans="2:7" ht="14.15" customHeight="1" thickBot="1">
      <c r="B7" s="2221" t="s">
        <v>567</v>
      </c>
      <c r="C7" s="2248"/>
      <c r="D7" s="2222"/>
      <c r="E7" s="428" t="s">
        <v>568</v>
      </c>
      <c r="F7" s="2221" t="s">
        <v>569</v>
      </c>
      <c r="G7" s="2222"/>
    </row>
    <row r="8" spans="2:7" ht="14.15" customHeight="1" thickBot="1">
      <c r="B8" s="2221" t="s">
        <v>570</v>
      </c>
      <c r="C8" s="2248"/>
      <c r="D8" s="2222"/>
      <c r="E8" s="429" t="s">
        <v>571</v>
      </c>
      <c r="F8" s="2221" t="s">
        <v>572</v>
      </c>
      <c r="G8" s="2222"/>
    </row>
    <row r="9" spans="2:7" ht="14.15" customHeight="1" thickBot="1">
      <c r="B9" s="2221" t="s">
        <v>573</v>
      </c>
      <c r="C9" s="2248"/>
      <c r="D9" s="2222"/>
      <c r="E9" s="429" t="s">
        <v>574</v>
      </c>
      <c r="F9" s="2221" t="s">
        <v>575</v>
      </c>
      <c r="G9" s="2222"/>
    </row>
    <row r="10" spans="2:7" ht="14.15" customHeight="1" thickBot="1">
      <c r="B10" s="2221" t="s">
        <v>576</v>
      </c>
      <c r="C10" s="2248"/>
      <c r="D10" s="2222"/>
      <c r="E10" s="429" t="s">
        <v>577</v>
      </c>
      <c r="F10" s="2221" t="s">
        <v>578</v>
      </c>
      <c r="G10" s="2222"/>
    </row>
    <row r="11" spans="2:7" ht="14.15" customHeight="1" thickBot="1">
      <c r="B11" s="2259" t="s">
        <v>579</v>
      </c>
      <c r="C11" s="2260"/>
      <c r="D11" s="2261"/>
      <c r="E11" s="429" t="s">
        <v>580</v>
      </c>
      <c r="F11" s="2221" t="s">
        <v>581</v>
      </c>
      <c r="G11" s="2222"/>
    </row>
    <row r="12" spans="2:7" ht="14.15" customHeight="1" thickBot="1">
      <c r="B12" s="2259" t="s">
        <v>582</v>
      </c>
      <c r="C12" s="2260"/>
      <c r="D12" s="2261"/>
      <c r="E12" s="429" t="s">
        <v>583</v>
      </c>
      <c r="F12" s="2221" t="s">
        <v>584</v>
      </c>
      <c r="G12" s="2222"/>
    </row>
    <row r="13" spans="2:7" ht="4.5" customHeight="1" thickBot="1"/>
    <row r="14" spans="2:7" ht="14.15" customHeight="1" thickBot="1">
      <c r="B14" s="2225" t="s">
        <v>585</v>
      </c>
      <c r="C14" s="2246"/>
      <c r="D14" s="2246"/>
      <c r="E14" s="2246"/>
      <c r="F14" s="2246"/>
      <c r="G14" s="2247"/>
    </row>
    <row r="15" spans="2:7" ht="14.15" customHeight="1" thickBot="1">
      <c r="B15" s="2225" t="s">
        <v>586</v>
      </c>
      <c r="C15" s="2246"/>
      <c r="D15" s="2246"/>
      <c r="E15" s="2246"/>
      <c r="F15" s="2246"/>
      <c r="G15" s="2247"/>
    </row>
    <row r="16" spans="2:7" ht="14.15" customHeight="1" thickBot="1">
      <c r="B16" s="2221" t="s">
        <v>587</v>
      </c>
      <c r="C16" s="2248"/>
      <c r="D16" s="2222"/>
      <c r="E16" s="2249" t="s">
        <v>588</v>
      </c>
      <c r="F16" s="2250"/>
      <c r="G16" s="2251"/>
    </row>
    <row r="17" spans="2:7" ht="14.15" customHeight="1" thickBot="1">
      <c r="B17" s="2221" t="s">
        <v>589</v>
      </c>
      <c r="C17" s="2248"/>
      <c r="D17" s="2222"/>
      <c r="E17" s="428" t="s">
        <v>590</v>
      </c>
      <c r="F17" s="2221" t="s">
        <v>591</v>
      </c>
      <c r="G17" s="2222"/>
    </row>
    <row r="18" spans="2:7" ht="3.75" customHeight="1" thickBot="1"/>
    <row r="19" spans="2:7" ht="14.15" customHeight="1" thickBot="1">
      <c r="B19" s="2225" t="s">
        <v>592</v>
      </c>
      <c r="C19" s="2246"/>
      <c r="D19" s="2246"/>
      <c r="E19" s="2246"/>
      <c r="F19" s="2246"/>
      <c r="G19" s="2247"/>
    </row>
    <row r="20" spans="2:7" ht="14.15" customHeight="1" thickBot="1">
      <c r="B20" s="2225" t="s">
        <v>586</v>
      </c>
      <c r="C20" s="2246"/>
      <c r="D20" s="2246"/>
      <c r="E20" s="2246"/>
      <c r="F20" s="2246"/>
      <c r="G20" s="2247"/>
    </row>
    <row r="21" spans="2:7" ht="14.15" customHeight="1" thickBot="1">
      <c r="B21" s="2221" t="s">
        <v>593</v>
      </c>
      <c r="C21" s="2248"/>
      <c r="D21" s="2222"/>
      <c r="E21" s="2249" t="s">
        <v>594</v>
      </c>
      <c r="F21" s="2250"/>
      <c r="G21" s="2251"/>
    </row>
    <row r="22" spans="2:7" ht="14.15" customHeight="1" thickBot="1">
      <c r="B22" s="2221" t="s">
        <v>595</v>
      </c>
      <c r="C22" s="2248"/>
      <c r="D22" s="2222"/>
      <c r="E22" s="428" t="s">
        <v>596</v>
      </c>
      <c r="F22" s="2221" t="s">
        <v>597</v>
      </c>
      <c r="G22" s="2222"/>
    </row>
    <row r="23" spans="2:7" ht="14.15" customHeight="1" thickBot="1">
      <c r="B23" s="2221" t="s">
        <v>598</v>
      </c>
      <c r="C23" s="2248"/>
      <c r="D23" s="2248"/>
      <c r="E23" s="2248"/>
      <c r="F23" s="2248"/>
      <c r="G23" s="2222"/>
    </row>
    <row r="24" spans="2:7" ht="6" customHeight="1" thickBot="1"/>
    <row r="25" spans="2:7" ht="9" customHeight="1" thickBot="1">
      <c r="B25" s="712"/>
      <c r="C25" s="715"/>
      <c r="D25" s="715"/>
      <c r="E25" s="715"/>
      <c r="F25" s="715"/>
      <c r="G25" s="713"/>
    </row>
    <row r="26" spans="2:7" ht="16.5" customHeight="1" thickBot="1">
      <c r="B26" s="2252" t="s">
        <v>599</v>
      </c>
      <c r="C26" s="2253"/>
      <c r="D26" s="2253"/>
      <c r="E26" s="2253"/>
      <c r="F26" s="2253"/>
      <c r="G26" s="2254"/>
    </row>
    <row r="27" spans="2:7" ht="8.25" customHeight="1" thickBot="1"/>
    <row r="28" spans="2:7" ht="15" customHeight="1" thickBot="1">
      <c r="B28" s="2255" t="s">
        <v>600</v>
      </c>
      <c r="C28" s="2256"/>
      <c r="D28" s="2256"/>
      <c r="E28" s="2256"/>
      <c r="F28" s="2256"/>
      <c r="G28" s="2257"/>
    </row>
    <row r="29" spans="2:7" ht="14.15" customHeight="1" thickBot="1">
      <c r="B29" s="2223" t="str">
        <f>'0F Lj'!D12</f>
        <v>Razão Social da Loja</v>
      </c>
      <c r="C29" s="2258"/>
      <c r="D29" s="2224"/>
      <c r="E29" s="2259" t="str">
        <f>'0F Lj'!D13</f>
        <v>Nome Fantasia Loja</v>
      </c>
      <c r="F29" s="2260"/>
      <c r="G29" s="2261"/>
    </row>
    <row r="30" spans="2:7" ht="14.15" customHeight="1" thickBot="1">
      <c r="B30" s="430" t="s">
        <v>601</v>
      </c>
      <c r="C30" s="2244" t="str">
        <f>'0F Lj'!D19</f>
        <v>CNPJ da Loja</v>
      </c>
      <c r="D30" s="2245"/>
      <c r="E30" s="431" t="s">
        <v>26</v>
      </c>
      <c r="F30" s="2244" t="str">
        <f>'0F Lj'!F19</f>
        <v>Inscrição da loja</v>
      </c>
      <c r="G30" s="2245"/>
    </row>
    <row r="31" spans="2:7" ht="14.15" customHeight="1" thickBot="1">
      <c r="B31" s="429" t="s">
        <v>602</v>
      </c>
      <c r="C31" s="2221" t="str">
        <f>'0F Lj'!D21</f>
        <v>Responsável da loja</v>
      </c>
      <c r="D31" s="2222"/>
      <c r="E31" s="432" t="str">
        <f>'0F Lj'!F5</f>
        <v>CPF da loja</v>
      </c>
      <c r="F31" s="2223" t="str">
        <f>'0F Lj'!F21</f>
        <v>Fone</v>
      </c>
      <c r="G31" s="2224"/>
    </row>
    <row r="32" spans="2:7" ht="7.5" customHeight="1" thickBot="1"/>
    <row r="33" spans="2:7" ht="13" thickBot="1">
      <c r="B33" s="2225" t="s">
        <v>603</v>
      </c>
      <c r="C33" s="2226"/>
      <c r="D33" s="2226"/>
      <c r="E33" s="2226"/>
      <c r="F33" s="2226"/>
      <c r="G33" s="2227"/>
    </row>
    <row r="35" spans="2:7">
      <c r="B35" s="433" t="s">
        <v>604</v>
      </c>
      <c r="C35" s="2228" t="str">
        <f>'0F Lj'!D23</f>
        <v>E-mail da Loja</v>
      </c>
      <c r="D35" s="2229"/>
      <c r="E35" s="2229"/>
      <c r="F35" s="2229"/>
      <c r="G35" s="2230"/>
    </row>
    <row r="36" spans="2:7">
      <c r="B36" s="434" t="s">
        <v>605</v>
      </c>
      <c r="C36" s="2231" t="s">
        <v>606</v>
      </c>
      <c r="D36" s="2232"/>
      <c r="E36" s="2232"/>
      <c r="F36" s="2232"/>
      <c r="G36" s="2233"/>
    </row>
    <row r="37" spans="2:7" ht="13" thickBot="1">
      <c r="B37" s="435" t="s">
        <v>607</v>
      </c>
      <c r="C37" s="2234" t="s">
        <v>608</v>
      </c>
      <c r="D37" s="2235"/>
      <c r="E37" s="2235"/>
      <c r="F37" s="2235"/>
      <c r="G37" s="2236"/>
    </row>
    <row r="38" spans="2:7" ht="9" customHeight="1">
      <c r="B38" s="436"/>
      <c r="C38" s="437"/>
      <c r="D38" s="437"/>
      <c r="E38" s="437"/>
      <c r="F38" s="437"/>
    </row>
    <row r="39" spans="2:7" ht="14.15" customHeight="1">
      <c r="B39" s="438" t="s">
        <v>609</v>
      </c>
    </row>
    <row r="40" spans="2:7" ht="14.15" customHeight="1">
      <c r="B40" s="438" t="s">
        <v>610</v>
      </c>
    </row>
    <row r="41" spans="2:7" ht="8.25" customHeight="1" thickBot="1"/>
    <row r="42" spans="2:7" ht="14.15" customHeight="1" thickBot="1">
      <c r="B42" s="429" t="s">
        <v>611</v>
      </c>
      <c r="C42" s="429" t="s">
        <v>46</v>
      </c>
      <c r="D42" s="2237" t="s">
        <v>612</v>
      </c>
      <c r="E42" s="2238"/>
      <c r="F42" s="2238"/>
      <c r="G42" s="2239"/>
    </row>
    <row r="43" spans="2:7" ht="14.15" customHeight="1" thickBot="1">
      <c r="B43" s="439" t="s">
        <v>613</v>
      </c>
      <c r="C43" s="440" t="s">
        <v>614</v>
      </c>
      <c r="D43" s="2240" t="s">
        <v>615</v>
      </c>
      <c r="E43" s="2241"/>
      <c r="F43" s="714" t="s">
        <v>616</v>
      </c>
      <c r="G43" s="440" t="s">
        <v>617</v>
      </c>
    </row>
    <row r="44" spans="2:7" ht="14.5">
      <c r="B44" s="441">
        <v>45231</v>
      </c>
      <c r="C44" s="442">
        <v>292467</v>
      </c>
      <c r="D44" s="2242" t="s">
        <v>618</v>
      </c>
      <c r="E44" s="2243"/>
      <c r="F44" s="443" t="s">
        <v>619</v>
      </c>
      <c r="G44" s="444">
        <v>6700</v>
      </c>
    </row>
    <row r="45" spans="2:7" ht="14.5">
      <c r="B45" s="445">
        <v>45231</v>
      </c>
      <c r="C45" s="446">
        <v>292468</v>
      </c>
      <c r="D45" s="2215" t="s">
        <v>618</v>
      </c>
      <c r="E45" s="2216"/>
      <c r="F45" s="447" t="s">
        <v>620</v>
      </c>
      <c r="G45" s="448">
        <v>8200</v>
      </c>
    </row>
    <row r="46" spans="2:7" ht="14.5">
      <c r="B46" s="445">
        <v>45235</v>
      </c>
      <c r="C46" s="446">
        <v>292470</v>
      </c>
      <c r="D46" s="2215" t="s">
        <v>621</v>
      </c>
      <c r="E46" s="2216"/>
      <c r="F46" s="447" t="s">
        <v>622</v>
      </c>
      <c r="G46" s="448">
        <v>4700</v>
      </c>
    </row>
    <row r="47" spans="2:7" ht="14.5">
      <c r="B47" s="445">
        <v>45235</v>
      </c>
      <c r="C47" s="446">
        <v>292471</v>
      </c>
      <c r="D47" s="2215" t="s">
        <v>621</v>
      </c>
      <c r="E47" s="2216"/>
      <c r="F47" s="447" t="s">
        <v>623</v>
      </c>
      <c r="G47" s="448">
        <v>2580</v>
      </c>
    </row>
    <row r="48" spans="2:7" ht="14.5">
      <c r="B48" s="445"/>
      <c r="C48" s="446"/>
      <c r="D48" s="2215"/>
      <c r="E48" s="2216"/>
      <c r="F48" s="447"/>
      <c r="G48" s="448"/>
    </row>
    <row r="49" spans="2:9">
      <c r="B49" s="445"/>
      <c r="C49" s="449"/>
      <c r="D49" s="2215"/>
      <c r="E49" s="2216"/>
      <c r="F49" s="447"/>
      <c r="G49" s="448"/>
    </row>
    <row r="50" spans="2:9" ht="13" thickBot="1">
      <c r="B50" s="450"/>
      <c r="C50" s="451"/>
      <c r="D50" s="2217"/>
      <c r="E50" s="2218"/>
      <c r="F50" s="452"/>
      <c r="G50" s="453"/>
    </row>
    <row r="51" spans="2:9" ht="13.5" thickBot="1">
      <c r="B51" s="436" t="s">
        <v>624</v>
      </c>
      <c r="D51" s="388" t="s">
        <v>121</v>
      </c>
      <c r="F51" s="454" t="s">
        <v>514</v>
      </c>
      <c r="G51" s="455">
        <f>SUM(G44:G50)</f>
        <v>22180</v>
      </c>
    </row>
    <row r="52" spans="2:9" ht="13" thickBot="1">
      <c r="F52" s="456" t="s">
        <v>625</v>
      </c>
      <c r="G52" s="457">
        <v>12500</v>
      </c>
    </row>
    <row r="53" spans="2:9" ht="13" thickBot="1">
      <c r="F53" s="458" t="s">
        <v>626</v>
      </c>
      <c r="G53" s="459">
        <f>G51-G52</f>
        <v>9680</v>
      </c>
    </row>
    <row r="54" spans="2:9" ht="13.5">
      <c r="B54" s="438" t="s">
        <v>627</v>
      </c>
    </row>
    <row r="55" spans="2:9">
      <c r="B55" s="460" t="s">
        <v>628</v>
      </c>
    </row>
    <row r="56" spans="2:9" ht="13.5">
      <c r="B56" s="461" t="s">
        <v>629</v>
      </c>
    </row>
    <row r="57" spans="2:9" ht="16.5">
      <c r="B57" s="462" t="s">
        <v>630</v>
      </c>
    </row>
    <row r="58" spans="2:9">
      <c r="B58" s="848" t="str">
        <f>'0F Lj'!D21</f>
        <v>Responsável da loja</v>
      </c>
      <c r="C58" s="463"/>
    </row>
    <row r="59" spans="2:9">
      <c r="B59" s="849" t="str">
        <f>'0F Lj'!F21</f>
        <v>Fone</v>
      </c>
      <c r="C59" s="463"/>
    </row>
    <row r="60" spans="2:9">
      <c r="B60" s="2219"/>
      <c r="C60" s="2219"/>
      <c r="D60" s="464"/>
      <c r="E60" s="2220"/>
      <c r="F60" s="2220"/>
      <c r="G60" s="2220"/>
      <c r="H60" s="711"/>
      <c r="I60" s="465"/>
    </row>
    <row r="61" spans="2:9">
      <c r="B61" s="466"/>
      <c r="C61" s="466"/>
      <c r="D61" s="464"/>
      <c r="E61" s="711"/>
      <c r="F61" s="711"/>
      <c r="G61" s="711"/>
      <c r="H61" s="711"/>
      <c r="I61" s="465"/>
    </row>
  </sheetData>
  <sheetProtection algorithmName="SHA-512" hashValue="qqo/V0UG+AfAZrYuL/d74bqNeDeaqqhY9BBTUSNNO+PewDxiY1MTQxTCGj7an3TDO33xX2rmM/y8kIYaDLVALQ==" saltValue="9bb1qq8naLTToXNyJ35IUA==" spinCount="100000" sheet="1" objects="1" scenarios="1"/>
  <mergeCells count="54">
    <mergeCell ref="B2:E2"/>
    <mergeCell ref="F2:G2"/>
    <mergeCell ref="B4:G4"/>
    <mergeCell ref="B5:G5"/>
    <mergeCell ref="B6:D6"/>
    <mergeCell ref="E6:G6"/>
    <mergeCell ref="B7:D7"/>
    <mergeCell ref="F7:G7"/>
    <mergeCell ref="B8:D8"/>
    <mergeCell ref="F8:G8"/>
    <mergeCell ref="B9:D9"/>
    <mergeCell ref="F9:G9"/>
    <mergeCell ref="B10:D10"/>
    <mergeCell ref="F10:G10"/>
    <mergeCell ref="B11:D11"/>
    <mergeCell ref="F11:G11"/>
    <mergeCell ref="B12:D12"/>
    <mergeCell ref="F12:G12"/>
    <mergeCell ref="B14:G14"/>
    <mergeCell ref="B15:G15"/>
    <mergeCell ref="B16:D16"/>
    <mergeCell ref="E16:G16"/>
    <mergeCell ref="B17:D17"/>
    <mergeCell ref="F17:G17"/>
    <mergeCell ref="C30:D30"/>
    <mergeCell ref="F30:G30"/>
    <mergeCell ref="B19:G19"/>
    <mergeCell ref="B20:G20"/>
    <mergeCell ref="B21:D21"/>
    <mergeCell ref="E21:G21"/>
    <mergeCell ref="B22:D22"/>
    <mergeCell ref="F22:G22"/>
    <mergeCell ref="B23:G23"/>
    <mergeCell ref="B26:G26"/>
    <mergeCell ref="B28:G28"/>
    <mergeCell ref="B29:D29"/>
    <mergeCell ref="E29:G29"/>
    <mergeCell ref="D47:E47"/>
    <mergeCell ref="C31:D31"/>
    <mergeCell ref="F31:G31"/>
    <mergeCell ref="B33:G33"/>
    <mergeCell ref="C35:G35"/>
    <mergeCell ref="C36:G36"/>
    <mergeCell ref="C37:G37"/>
    <mergeCell ref="D42:G42"/>
    <mergeCell ref="D43:E43"/>
    <mergeCell ref="D44:E44"/>
    <mergeCell ref="D45:E45"/>
    <mergeCell ref="D46:E46"/>
    <mergeCell ref="D48:E48"/>
    <mergeCell ref="D49:E49"/>
    <mergeCell ref="D50:E50"/>
    <mergeCell ref="B60:C60"/>
    <mergeCell ref="E60:G60"/>
  </mergeCells>
  <hyperlinks>
    <hyperlink ref="C37" r:id="rId1" xr:uid="{00000000-0004-0000-0E00-000000000000}"/>
    <hyperlink ref="E6" r:id="rId2" xr:uid="{00000000-0004-0000-0E00-000001000000}"/>
    <hyperlink ref="E16" r:id="rId3" xr:uid="{00000000-0004-0000-0E00-000002000000}"/>
    <hyperlink ref="E21" r:id="rId4" xr:uid="{00000000-0004-0000-0E00-000003000000}"/>
  </hyperlinks>
  <printOptions horizontalCentered="1" verticalCentered="1"/>
  <pageMargins left="0" right="0" top="0.39370078740157483" bottom="0.39370078740157483" header="0.31496062992125984" footer="0.31496062992125984"/>
  <pageSetup paperSize="9" orientation="portrait"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B1:I54"/>
  <sheetViews>
    <sheetView zoomScale="120" zoomScaleNormal="120" workbookViewId="0">
      <selection activeCell="G38" sqref="G38"/>
    </sheetView>
  </sheetViews>
  <sheetFormatPr defaultColWidth="9" defaultRowHeight="12.5"/>
  <cols>
    <col min="1" max="1" width="0.54296875" style="427" customWidth="1"/>
    <col min="2" max="2" width="25.7265625" style="427" customWidth="1"/>
    <col min="3" max="3" width="11.453125" style="427" customWidth="1"/>
    <col min="4" max="4" width="13.1796875" style="427" customWidth="1"/>
    <col min="5" max="5" width="20.54296875" style="427" customWidth="1"/>
    <col min="6" max="6" width="18.1796875" style="427" customWidth="1"/>
    <col min="7" max="7" width="13" style="427" customWidth="1"/>
    <col min="8" max="16384" width="9" style="427"/>
  </cols>
  <sheetData>
    <row r="1" spans="2:9" ht="13" thickBot="1">
      <c r="B1" s="466"/>
      <c r="C1" s="466"/>
      <c r="D1" s="464"/>
      <c r="E1" s="711"/>
      <c r="F1" s="711"/>
      <c r="G1" s="711"/>
      <c r="H1" s="711"/>
      <c r="I1" s="465"/>
    </row>
    <row r="2" spans="2:9" ht="13" thickBot="1">
      <c r="B2" s="2225" t="s">
        <v>631</v>
      </c>
      <c r="C2" s="2226"/>
      <c r="D2" s="2226"/>
      <c r="E2" s="2226"/>
      <c r="F2" s="2226"/>
      <c r="G2" s="2227"/>
    </row>
    <row r="3" spans="2:9" ht="13" thickBot="1"/>
    <row r="4" spans="2:9" ht="17.25" customHeight="1" thickBot="1">
      <c r="B4" s="2299" t="str">
        <f>'0F Lj'!C45</f>
        <v xml:space="preserve">  Mérica</v>
      </c>
      <c r="C4" s="2300"/>
      <c r="D4" s="2298"/>
      <c r="E4" s="467" t="str">
        <f>'0F Lj'!D45</f>
        <v>RS - Elton</v>
      </c>
      <c r="F4" s="2299" t="str">
        <f>'0F Lj'!E45</f>
        <v>(54) 99157-1412</v>
      </c>
      <c r="G4" s="2298"/>
    </row>
    <row r="5" spans="2:9" ht="14.15" customHeight="1" thickBot="1">
      <c r="B5" s="2299" t="str">
        <f>'0F Lj'!B45</f>
        <v>logisticarj@mericalog.com</v>
      </c>
      <c r="C5" s="2300"/>
      <c r="D5" s="2298"/>
      <c r="E5" s="468" t="str">
        <f>'0F Lj'!B46</f>
        <v>Rio - Guilherme (Jardim América)</v>
      </c>
      <c r="F5" s="2299" t="str">
        <f>'0F Lj'!C46</f>
        <v>(21) 99132-9800</v>
      </c>
      <c r="G5" s="2298"/>
    </row>
    <row r="6" spans="2:9" ht="16" thickBot="1">
      <c r="B6" s="467" t="s">
        <v>632</v>
      </c>
      <c r="C6" s="2297">
        <f>'0F Lj'!F45</f>
        <v>0.19670000000000001</v>
      </c>
      <c r="D6" s="2298"/>
      <c r="E6" s="469">
        <f>'0F Lj'!E46</f>
        <v>0</v>
      </c>
      <c r="F6" s="2299">
        <f>'0F Lj'!F46:G46</f>
        <v>0</v>
      </c>
      <c r="G6" s="2298"/>
    </row>
    <row r="7" spans="2:9" ht="16" thickBot="1">
      <c r="E7" s="470"/>
      <c r="F7" s="470"/>
      <c r="G7" s="471"/>
    </row>
    <row r="8" spans="2:9">
      <c r="B8" s="472" t="s">
        <v>604</v>
      </c>
      <c r="C8" s="2286" t="str">
        <f>'0F Lj'!D23</f>
        <v>E-mail da Loja</v>
      </c>
      <c r="D8" s="2287"/>
      <c r="E8" s="2287"/>
      <c r="F8" s="2287"/>
      <c r="G8" s="2288"/>
    </row>
    <row r="9" spans="2:9">
      <c r="B9" s="473" t="s">
        <v>633</v>
      </c>
      <c r="C9" s="2289" t="str">
        <f>B5</f>
        <v>logisticarj@mericalog.com</v>
      </c>
      <c r="D9" s="2290"/>
      <c r="E9" s="2290"/>
      <c r="F9" s="2290"/>
      <c r="G9" s="2291"/>
    </row>
    <row r="10" spans="2:9" ht="13" thickBot="1">
      <c r="B10" s="474" t="s">
        <v>607</v>
      </c>
      <c r="C10" s="2234" t="s">
        <v>608</v>
      </c>
      <c r="D10" s="2235"/>
      <c r="E10" s="2235"/>
      <c r="F10" s="2235"/>
      <c r="G10" s="2236"/>
    </row>
    <row r="11" spans="2:9">
      <c r="B11" s="475"/>
      <c r="C11" s="476"/>
      <c r="D11" s="476"/>
      <c r="E11" s="476"/>
      <c r="F11" s="476"/>
      <c r="G11" s="476"/>
    </row>
    <row r="12" spans="2:9" ht="14.15" customHeight="1">
      <c r="B12" s="438" t="s">
        <v>609</v>
      </c>
    </row>
    <row r="13" spans="2:9" ht="14.15" customHeight="1">
      <c r="B13" s="438" t="s">
        <v>610</v>
      </c>
    </row>
    <row r="14" spans="2:9" ht="13" thickBot="1"/>
    <row r="15" spans="2:9" ht="14.15" customHeight="1" thickBot="1">
      <c r="B15" s="2292" t="s">
        <v>611</v>
      </c>
      <c r="C15" s="2293"/>
      <c r="D15" s="477" t="s">
        <v>46</v>
      </c>
      <c r="E15" s="2294" t="s">
        <v>634</v>
      </c>
      <c r="F15" s="2295"/>
      <c r="G15" s="2296"/>
    </row>
    <row r="16" spans="2:9" ht="14.15" customHeight="1" thickBot="1">
      <c r="B16" s="439" t="s">
        <v>613</v>
      </c>
      <c r="C16" s="440" t="s">
        <v>635</v>
      </c>
      <c r="D16" s="440" t="s">
        <v>636</v>
      </c>
      <c r="E16" s="440" t="s">
        <v>615</v>
      </c>
      <c r="F16" s="714" t="s">
        <v>616</v>
      </c>
      <c r="G16" s="440" t="s">
        <v>637</v>
      </c>
    </row>
    <row r="17" spans="2:7" ht="14.5">
      <c r="B17" s="445">
        <v>45261</v>
      </c>
      <c r="C17" s="478">
        <v>100021</v>
      </c>
      <c r="D17" s="442">
        <v>292467</v>
      </c>
      <c r="E17" s="443" t="s">
        <v>618</v>
      </c>
      <c r="F17" s="443" t="s">
        <v>619</v>
      </c>
      <c r="G17" s="444">
        <v>6700</v>
      </c>
    </row>
    <row r="18" spans="2:7" ht="14.5">
      <c r="B18" s="445">
        <v>45261</v>
      </c>
      <c r="C18" s="478">
        <v>100022</v>
      </c>
      <c r="D18" s="446">
        <v>292468</v>
      </c>
      <c r="E18" s="447" t="s">
        <v>618</v>
      </c>
      <c r="F18" s="447" t="s">
        <v>620</v>
      </c>
      <c r="G18" s="448">
        <v>8200</v>
      </c>
    </row>
    <row r="19" spans="2:7" ht="14.5">
      <c r="B19" s="445"/>
      <c r="C19" s="449"/>
      <c r="D19" s="446"/>
      <c r="E19" s="447"/>
      <c r="F19" s="447"/>
      <c r="G19" s="448"/>
    </row>
    <row r="20" spans="2:7" ht="14.5">
      <c r="B20" s="445"/>
      <c r="C20" s="449"/>
      <c r="D20" s="446"/>
      <c r="E20" s="447"/>
      <c r="F20" s="447"/>
      <c r="G20" s="448"/>
    </row>
    <row r="21" spans="2:7" ht="14.5">
      <c r="B21" s="445"/>
      <c r="C21" s="449"/>
      <c r="D21" s="446"/>
      <c r="E21" s="447"/>
      <c r="F21" s="447"/>
      <c r="G21" s="448"/>
    </row>
    <row r="22" spans="2:7" ht="14.5">
      <c r="B22" s="445"/>
      <c r="C22" s="449"/>
      <c r="D22" s="446"/>
      <c r="E22" s="447"/>
      <c r="F22" s="447"/>
      <c r="G22" s="448"/>
    </row>
    <row r="23" spans="2:7" ht="15.75" customHeight="1" thickBot="1">
      <c r="B23" s="2283"/>
      <c r="C23" s="2284"/>
      <c r="D23" s="2284"/>
      <c r="E23" s="2285"/>
      <c r="F23" s="454" t="s">
        <v>638</v>
      </c>
      <c r="G23" s="448">
        <f>SUM(G17:G22)</f>
        <v>14900</v>
      </c>
    </row>
    <row r="24" spans="2:7" ht="14.15" customHeight="1" thickBot="1">
      <c r="B24" s="2292" t="s">
        <v>611</v>
      </c>
      <c r="C24" s="2293"/>
      <c r="D24" s="479" t="s">
        <v>49</v>
      </c>
      <c r="E24" s="2294" t="s">
        <v>634</v>
      </c>
      <c r="F24" s="2295"/>
      <c r="G24" s="2296"/>
    </row>
    <row r="25" spans="2:7" ht="14.15" customHeight="1" thickBot="1">
      <c r="B25" s="439" t="s">
        <v>613</v>
      </c>
      <c r="C25" s="440" t="s">
        <v>635</v>
      </c>
      <c r="D25" s="440" t="s">
        <v>636</v>
      </c>
      <c r="E25" s="440" t="s">
        <v>615</v>
      </c>
      <c r="F25" s="714" t="s">
        <v>616</v>
      </c>
      <c r="G25" s="440" t="s">
        <v>637</v>
      </c>
    </row>
    <row r="26" spans="2:7" ht="14.5">
      <c r="B26" s="445">
        <v>45261</v>
      </c>
      <c r="C26" s="478">
        <v>100256</v>
      </c>
      <c r="D26" s="442">
        <v>678333</v>
      </c>
      <c r="E26" s="443" t="s">
        <v>618</v>
      </c>
      <c r="F26" s="443" t="s">
        <v>619</v>
      </c>
      <c r="G26" s="444">
        <v>580</v>
      </c>
    </row>
    <row r="27" spans="2:7" ht="14.5">
      <c r="B27" s="445"/>
      <c r="C27" s="478"/>
      <c r="D27" s="446"/>
      <c r="E27" s="447"/>
      <c r="F27" s="447"/>
      <c r="G27" s="448"/>
    </row>
    <row r="28" spans="2:7" ht="14.5">
      <c r="B28" s="445"/>
      <c r="C28" s="478"/>
      <c r="D28" s="446"/>
      <c r="E28" s="447"/>
      <c r="F28" s="447"/>
      <c r="G28" s="448"/>
    </row>
    <row r="29" spans="2:7" ht="15.75" customHeight="1" thickBot="1">
      <c r="B29" s="2283"/>
      <c r="C29" s="2284"/>
      <c r="D29" s="2284"/>
      <c r="E29" s="2285"/>
      <c r="F29" s="454" t="s">
        <v>638</v>
      </c>
      <c r="G29" s="448">
        <f>SUM(G23:G28)</f>
        <v>15480</v>
      </c>
    </row>
    <row r="30" spans="2:7" ht="14.15" customHeight="1" thickBot="1">
      <c r="B30" s="2292" t="s">
        <v>611</v>
      </c>
      <c r="C30" s="2293"/>
      <c r="D30" s="479" t="s">
        <v>50</v>
      </c>
      <c r="E30" s="2294" t="s">
        <v>634</v>
      </c>
      <c r="F30" s="2295"/>
      <c r="G30" s="2296"/>
    </row>
    <row r="31" spans="2:7" ht="14.15" customHeight="1" thickBot="1">
      <c r="B31" s="439" t="s">
        <v>613</v>
      </c>
      <c r="C31" s="440" t="s">
        <v>635</v>
      </c>
      <c r="D31" s="440" t="s">
        <v>636</v>
      </c>
      <c r="E31" s="440" t="s">
        <v>615</v>
      </c>
      <c r="F31" s="714" t="s">
        <v>616</v>
      </c>
      <c r="G31" s="440" t="s">
        <v>637</v>
      </c>
    </row>
    <row r="32" spans="2:7" ht="14.5">
      <c r="B32" s="445">
        <v>45261</v>
      </c>
      <c r="C32" s="478">
        <v>4500267</v>
      </c>
      <c r="D32" s="442">
        <v>666589</v>
      </c>
      <c r="E32" s="443" t="s">
        <v>618</v>
      </c>
      <c r="F32" s="443" t="s">
        <v>619</v>
      </c>
      <c r="G32" s="444">
        <v>6700</v>
      </c>
    </row>
    <row r="33" spans="2:7" ht="14.5">
      <c r="B33" s="445"/>
      <c r="C33" s="478"/>
      <c r="D33" s="446"/>
      <c r="E33" s="447"/>
      <c r="F33" s="447"/>
      <c r="G33" s="448"/>
    </row>
    <row r="34" spans="2:7" ht="14.5">
      <c r="B34" s="445"/>
      <c r="C34" s="478"/>
      <c r="D34" s="446"/>
      <c r="E34" s="447"/>
      <c r="F34" s="447"/>
      <c r="G34" s="448"/>
    </row>
    <row r="35" spans="2:7" ht="15.75" customHeight="1" thickBot="1">
      <c r="B35" s="2283"/>
      <c r="C35" s="2284"/>
      <c r="D35" s="2284"/>
      <c r="E35" s="2285"/>
      <c r="F35" s="454" t="s">
        <v>638</v>
      </c>
      <c r="G35" s="448">
        <f>SUM(G28:G34)</f>
        <v>22180</v>
      </c>
    </row>
    <row r="36" spans="2:7" ht="15" customHeight="1" thickBot="1">
      <c r="B36" s="2266" t="s">
        <v>639</v>
      </c>
      <c r="C36" s="2267"/>
      <c r="D36" s="480" t="s">
        <v>640</v>
      </c>
      <c r="E36" s="481">
        <f ca="1">TODAY()+1</f>
        <v>46154</v>
      </c>
      <c r="F36" s="482" t="s">
        <v>641</v>
      </c>
      <c r="G36" s="483" t="str">
        <f>'[8]1F Cliente Compra'!$D$20</f>
        <v xml:space="preserve"> </v>
      </c>
    </row>
    <row r="37" spans="2:7" ht="13.5" thickBot="1">
      <c r="B37" s="2268" t="s">
        <v>642</v>
      </c>
      <c r="C37" s="2269"/>
      <c r="D37" s="2270"/>
      <c r="E37" s="484" t="s">
        <v>643</v>
      </c>
      <c r="F37" s="454" t="s">
        <v>638</v>
      </c>
      <c r="G37" s="455">
        <f>G23+G29+G35</f>
        <v>52560</v>
      </c>
    </row>
    <row r="38" spans="2:7" ht="13" thickBot="1">
      <c r="B38" s="2271"/>
      <c r="C38" s="2272"/>
      <c r="D38" s="2273"/>
      <c r="E38" s="485" t="s">
        <v>644</v>
      </c>
      <c r="F38" s="486">
        <f>C6</f>
        <v>0.19670000000000001</v>
      </c>
      <c r="G38" s="487">
        <f>G37*F38</f>
        <v>10338.552000000001</v>
      </c>
    </row>
    <row r="39" spans="2:7" ht="13" thickBot="1">
      <c r="B39" s="716"/>
      <c r="C39" s="717"/>
      <c r="D39" s="717"/>
      <c r="E39" s="488"/>
      <c r="F39" s="489"/>
      <c r="G39" s="490"/>
    </row>
    <row r="40" spans="2:7" ht="15" customHeight="1" thickBot="1">
      <c r="B40" s="2274" t="s">
        <v>645</v>
      </c>
      <c r="C40" s="2275"/>
      <c r="D40" s="491" t="s">
        <v>646</v>
      </c>
      <c r="E40" s="492">
        <f>'[8]1F Cliente Compra'!$D$12</f>
        <v>0</v>
      </c>
      <c r="F40" s="491" t="str">
        <f>D36</f>
        <v>Data Entrega =</v>
      </c>
      <c r="G40" s="492">
        <f ca="1">E36</f>
        <v>46154</v>
      </c>
    </row>
    <row r="41" spans="2:7" ht="15" customHeight="1">
      <c r="B41" s="2276" t="str">
        <f>'[9]3Ficha montagem'!$D$12</f>
        <v>Camila Brandão Lobo</v>
      </c>
      <c r="C41" s="2277"/>
      <c r="D41" s="2277"/>
      <c r="E41" s="2277"/>
      <c r="F41" s="493" t="s">
        <v>647</v>
      </c>
      <c r="G41" s="494" t="str">
        <f>'[8]1F Cliente Compra'!$D$20</f>
        <v xml:space="preserve"> </v>
      </c>
    </row>
    <row r="42" spans="2:7" ht="13">
      <c r="B42" s="2278" t="str">
        <f>'[9]3Ficha montagem'!$D$22</f>
        <v xml:space="preserve">ACIMA </v>
      </c>
      <c r="C42" s="2279"/>
      <c r="D42" s="2279"/>
      <c r="E42" s="2279"/>
      <c r="F42" s="495" t="str">
        <f>'[8]1F Cliente Compra'!$B$25</f>
        <v xml:space="preserve">  </v>
      </c>
      <c r="G42" s="496" t="str">
        <f>'[9]1FComprador'!$D$24</f>
        <v xml:space="preserve"> Barra</v>
      </c>
    </row>
    <row r="43" spans="2:7" ht="15.5">
      <c r="B43" s="2280" t="s">
        <v>648</v>
      </c>
      <c r="C43" s="2281"/>
      <c r="D43" s="2281"/>
      <c r="E43" s="2281"/>
      <c r="F43" s="2281"/>
      <c r="G43" s="2282"/>
    </row>
    <row r="44" spans="2:7" ht="16" thickBot="1">
      <c r="B44" s="2262" t="s">
        <v>649</v>
      </c>
      <c r="C44" s="2263"/>
      <c r="D44" s="2263"/>
      <c r="E44" s="2263"/>
      <c r="F44" s="2263"/>
      <c r="G44" s="2264"/>
    </row>
    <row r="45" spans="2:7">
      <c r="B45" s="436" t="s">
        <v>650</v>
      </c>
      <c r="D45" s="388" t="s">
        <v>121</v>
      </c>
      <c r="E45" s="2265" t="str">
        <f>'0F Lj'!D80</f>
        <v xml:space="preserve"> Sistema ByDesigner Desenvolvido Neri (21) 97014-2420</v>
      </c>
      <c r="F45" s="2265"/>
      <c r="G45" s="2265"/>
    </row>
    <row r="47" spans="2:7" ht="13.5">
      <c r="B47" s="438" t="s">
        <v>627</v>
      </c>
    </row>
    <row r="48" spans="2:7" ht="13.5">
      <c r="B48" s="461" t="s">
        <v>651</v>
      </c>
    </row>
    <row r="49" spans="2:2" ht="13.5">
      <c r="B49" s="461" t="s">
        <v>652</v>
      </c>
    </row>
    <row r="51" spans="2:2" ht="16.5">
      <c r="B51" s="462" t="s">
        <v>630</v>
      </c>
    </row>
    <row r="53" spans="2:2">
      <c r="B53" s="848" t="str">
        <f>'0F Lj'!D21</f>
        <v>Responsável da loja</v>
      </c>
    </row>
    <row r="54" spans="2:2">
      <c r="B54" s="849" t="str">
        <f>'0F Lj'!F21</f>
        <v>Fone</v>
      </c>
    </row>
  </sheetData>
  <sheetProtection algorithmName="SHA-512" hashValue="oTNRbtV2xKmiBVoi7CjoeAIZRuvXvKW6Adhd88XmmHtWasqkjsUpv4hRqC+5JYBjMZsJ0qEPFlAlOXMJDNBHAg==" saltValue="6KYi4/IbjRa6/U4QAnVCng==" spinCount="100000" sheet="1" objects="1" scenarios="1"/>
  <mergeCells count="27">
    <mergeCell ref="C6:D6"/>
    <mergeCell ref="F6:G6"/>
    <mergeCell ref="B2:G2"/>
    <mergeCell ref="B4:D4"/>
    <mergeCell ref="F4:G4"/>
    <mergeCell ref="B5:D5"/>
    <mergeCell ref="F5:G5"/>
    <mergeCell ref="B35:E35"/>
    <mergeCell ref="C8:G8"/>
    <mergeCell ref="C9:G9"/>
    <mergeCell ref="C10:G10"/>
    <mergeCell ref="B15:C15"/>
    <mergeCell ref="E15:G15"/>
    <mergeCell ref="B23:E23"/>
    <mergeCell ref="B24:C24"/>
    <mergeCell ref="E24:G24"/>
    <mergeCell ref="B29:E29"/>
    <mergeCell ref="B30:C30"/>
    <mergeCell ref="E30:G30"/>
    <mergeCell ref="B44:G44"/>
    <mergeCell ref="E45:G45"/>
    <mergeCell ref="B36:C36"/>
    <mergeCell ref="B37:D38"/>
    <mergeCell ref="B40:C40"/>
    <mergeCell ref="B41:E41"/>
    <mergeCell ref="B42:E42"/>
    <mergeCell ref="B43:G43"/>
  </mergeCells>
  <hyperlinks>
    <hyperlink ref="C10" r:id="rId1" xr:uid="{00000000-0004-0000-0F00-000000000000}"/>
    <hyperlink ref="C9" r:id="rId2" display="logisticawagsul@gmail.com" xr:uid="{00000000-0004-0000-0F00-000001000000}"/>
  </hyperlinks>
  <printOptions horizontalCentered="1" verticalCentered="1"/>
  <pageMargins left="0" right="0" top="0.39370078740157483" bottom="0.39370078740157483" header="0.31496062992125984" footer="0.31496062992125984"/>
  <pageSetup paperSize="9" orientation="portrait"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R52"/>
  <sheetViews>
    <sheetView showGridLines="0" zoomScale="150" zoomScaleNormal="150" workbookViewId="0">
      <selection activeCell="L46" sqref="L46:N46"/>
    </sheetView>
  </sheetViews>
  <sheetFormatPr defaultColWidth="7.7265625" defaultRowHeight="10"/>
  <cols>
    <col min="1" max="1" width="1" style="497" customWidth="1"/>
    <col min="2" max="2" width="4.453125" style="497" customWidth="1"/>
    <col min="3" max="3" width="11" style="497" customWidth="1"/>
    <col min="4" max="4" width="7.7265625" style="498"/>
    <col min="5" max="5" width="4.7265625" style="498" customWidth="1"/>
    <col min="6" max="6" width="7.7265625" style="497"/>
    <col min="7" max="7" width="8.7265625" style="497" customWidth="1"/>
    <col min="8" max="8" width="9.26953125" style="497" customWidth="1"/>
    <col min="9" max="9" width="4.7265625" style="497" customWidth="1"/>
    <col min="10" max="10" width="7.7265625" style="497"/>
    <col min="11" max="11" width="5.1796875" style="498" customWidth="1"/>
    <col min="12" max="13" width="7.7265625" style="497"/>
    <col min="14" max="14" width="9" style="497" customWidth="1"/>
    <col min="15" max="15" width="7.7265625" style="497"/>
    <col min="16" max="16" width="10.54296875" style="497" bestFit="1" customWidth="1"/>
    <col min="17" max="16384" width="7.7265625" style="497"/>
  </cols>
  <sheetData>
    <row r="1" spans="2:18" ht="10.5" thickBot="1"/>
    <row r="2" spans="2:18" ht="32.25" customHeight="1" thickBot="1">
      <c r="B2" s="2331" t="str">
        <f>'0F Lj'!D12</f>
        <v>Razão Social da Loja</v>
      </c>
      <c r="C2" s="2332"/>
      <c r="D2" s="2332"/>
      <c r="E2" s="2333"/>
      <c r="F2" s="2331" t="str">
        <f>'0F Lj'!D13</f>
        <v>Nome Fantasia Loja</v>
      </c>
      <c r="G2" s="2332"/>
      <c r="H2" s="2332"/>
      <c r="I2" s="2332"/>
      <c r="J2" s="2332"/>
      <c r="K2" s="2332"/>
      <c r="L2" s="2332"/>
      <c r="M2" s="2332"/>
      <c r="N2" s="2333"/>
      <c r="Q2" s="498"/>
    </row>
    <row r="3" spans="2:18" ht="5.25" customHeight="1" thickBot="1">
      <c r="B3" s="499"/>
      <c r="C3" s="500"/>
      <c r="D3" s="501"/>
      <c r="E3" s="501"/>
      <c r="F3" s="500"/>
      <c r="G3" s="500"/>
      <c r="H3" s="500"/>
      <c r="I3" s="500"/>
      <c r="J3" s="500"/>
      <c r="K3" s="501"/>
      <c r="L3" s="500"/>
      <c r="M3" s="500"/>
      <c r="N3" s="502"/>
      <c r="R3" s="718"/>
    </row>
    <row r="4" spans="2:18" ht="11" thickBot="1">
      <c r="B4" s="2334" t="s">
        <v>653</v>
      </c>
      <c r="C4" s="2335"/>
      <c r="D4" s="2335"/>
      <c r="E4" s="2335"/>
      <c r="F4" s="2335"/>
      <c r="G4" s="2335"/>
      <c r="H4" s="2335"/>
      <c r="I4" s="2335"/>
      <c r="J4" s="2335"/>
      <c r="K4" s="2335"/>
      <c r="L4" s="2336"/>
      <c r="M4" s="503" t="s">
        <v>457</v>
      </c>
      <c r="N4" s="504">
        <f ca="1">TODAY()</f>
        <v>46153</v>
      </c>
      <c r="Q4" s="498"/>
    </row>
    <row r="5" spans="2:18" ht="13.5" customHeight="1" thickBot="1">
      <c r="B5" s="2337" t="s">
        <v>654</v>
      </c>
      <c r="C5" s="2338"/>
      <c r="D5" s="2338"/>
      <c r="E5" s="2338"/>
      <c r="F5" s="2338"/>
      <c r="G5" s="2338"/>
      <c r="H5" s="2339"/>
      <c r="I5" s="2337" t="s">
        <v>655</v>
      </c>
      <c r="J5" s="2338"/>
      <c r="K5" s="2338"/>
      <c r="L5" s="2338"/>
      <c r="M5" s="2338"/>
      <c r="N5" s="2339"/>
      <c r="R5" s="718"/>
    </row>
    <row r="6" spans="2:18" s="498" customFormat="1" ht="10.5" thickBot="1">
      <c r="B6" s="505" t="s">
        <v>459</v>
      </c>
      <c r="C6" s="506" t="s">
        <v>460</v>
      </c>
      <c r="D6" s="507" t="s">
        <v>656</v>
      </c>
      <c r="E6" s="508" t="s">
        <v>260</v>
      </c>
      <c r="F6" s="507" t="s">
        <v>657</v>
      </c>
      <c r="G6" s="509" t="s">
        <v>658</v>
      </c>
      <c r="H6" s="510" t="s">
        <v>486</v>
      </c>
      <c r="I6" s="505" t="s">
        <v>260</v>
      </c>
      <c r="J6" s="505" t="s">
        <v>462</v>
      </c>
      <c r="K6" s="507" t="s">
        <v>659</v>
      </c>
      <c r="L6" s="507" t="s">
        <v>657</v>
      </c>
      <c r="M6" s="507" t="s">
        <v>660</v>
      </c>
      <c r="N6" s="511" t="s">
        <v>661</v>
      </c>
    </row>
    <row r="7" spans="2:18">
      <c r="B7" s="512">
        <v>45778</v>
      </c>
      <c r="C7" s="513" t="s">
        <v>465</v>
      </c>
      <c r="D7" s="514" t="s">
        <v>662</v>
      </c>
      <c r="E7" s="515">
        <v>0.45</v>
      </c>
      <c r="F7" s="516">
        <v>35000</v>
      </c>
      <c r="G7" s="516">
        <v>25000</v>
      </c>
      <c r="H7" s="517">
        <f>F7-G7</f>
        <v>10000</v>
      </c>
      <c r="I7" s="518"/>
      <c r="J7" s="519"/>
      <c r="K7" s="515"/>
      <c r="L7" s="516"/>
      <c r="M7" s="516"/>
      <c r="N7" s="520">
        <f>L7-M7</f>
        <v>0</v>
      </c>
      <c r="P7" s="521"/>
    </row>
    <row r="8" spans="2:18">
      <c r="B8" s="522">
        <v>45786</v>
      </c>
      <c r="C8" s="523" t="s">
        <v>663</v>
      </c>
      <c r="D8" s="524" t="s">
        <v>664</v>
      </c>
      <c r="E8" s="515"/>
      <c r="F8" s="516"/>
      <c r="G8" s="516"/>
      <c r="H8" s="517">
        <f>H7+F8-G8</f>
        <v>10000</v>
      </c>
      <c r="I8" s="518">
        <v>0.45</v>
      </c>
      <c r="J8" s="519">
        <v>25000</v>
      </c>
      <c r="K8" s="515">
        <v>0.1</v>
      </c>
      <c r="L8" s="516"/>
      <c r="M8" s="525"/>
      <c r="N8" s="520">
        <f t="shared" ref="N8:N43" si="0">N7+L8-M8</f>
        <v>0</v>
      </c>
      <c r="Q8" s="526"/>
    </row>
    <row r="9" spans="2:18">
      <c r="B9" s="522">
        <v>45796</v>
      </c>
      <c r="C9" s="523" t="s">
        <v>665</v>
      </c>
      <c r="D9" s="524" t="s">
        <v>664</v>
      </c>
      <c r="E9" s="515">
        <v>0.45</v>
      </c>
      <c r="F9" s="516">
        <v>15813</v>
      </c>
      <c r="G9" s="516">
        <v>13000</v>
      </c>
      <c r="H9" s="517">
        <f>H8+F9-G9</f>
        <v>12813</v>
      </c>
      <c r="I9" s="518"/>
      <c r="J9" s="519"/>
      <c r="K9" s="515"/>
      <c r="L9" s="516"/>
      <c r="M9" s="516"/>
      <c r="N9" s="520">
        <f t="shared" si="0"/>
        <v>0</v>
      </c>
      <c r="Q9" s="527"/>
    </row>
    <row r="10" spans="2:18">
      <c r="B10" s="522">
        <v>45806</v>
      </c>
      <c r="C10" s="523" t="s">
        <v>666</v>
      </c>
      <c r="D10" s="524" t="s">
        <v>664</v>
      </c>
      <c r="E10" s="515"/>
      <c r="F10" s="516"/>
      <c r="G10" s="516"/>
      <c r="H10" s="517">
        <f t="shared" ref="H10:H44" si="1">H9+F10-G10</f>
        <v>12813</v>
      </c>
      <c r="I10" s="518">
        <v>0.45</v>
      </c>
      <c r="J10" s="519">
        <v>50000</v>
      </c>
      <c r="K10" s="515">
        <v>0.05</v>
      </c>
      <c r="L10" s="516"/>
      <c r="M10" s="516"/>
      <c r="N10" s="520">
        <f t="shared" si="0"/>
        <v>0</v>
      </c>
    </row>
    <row r="11" spans="2:18">
      <c r="B11" s="522"/>
      <c r="C11" s="523"/>
      <c r="D11" s="524"/>
      <c r="E11" s="515"/>
      <c r="F11" s="516"/>
      <c r="G11" s="516"/>
      <c r="H11" s="517">
        <f t="shared" si="1"/>
        <v>12813</v>
      </c>
      <c r="I11" s="518"/>
      <c r="J11" s="519"/>
      <c r="K11" s="515"/>
      <c r="L11" s="516"/>
      <c r="M11" s="516"/>
      <c r="N11" s="520">
        <f t="shared" si="0"/>
        <v>0</v>
      </c>
    </row>
    <row r="12" spans="2:18">
      <c r="B12" s="522"/>
      <c r="C12" s="528"/>
      <c r="D12" s="529"/>
      <c r="E12" s="515"/>
      <c r="F12" s="516"/>
      <c r="G12" s="516"/>
      <c r="H12" s="517">
        <f t="shared" si="1"/>
        <v>12813</v>
      </c>
      <c r="I12" s="518"/>
      <c r="J12" s="519"/>
      <c r="K12" s="515"/>
      <c r="L12" s="516"/>
      <c r="M12" s="516"/>
      <c r="N12" s="520">
        <f t="shared" si="0"/>
        <v>0</v>
      </c>
    </row>
    <row r="13" spans="2:18">
      <c r="B13" s="522"/>
      <c r="C13" s="530"/>
      <c r="D13" s="531"/>
      <c r="E13" s="515"/>
      <c r="F13" s="516"/>
      <c r="G13" s="516"/>
      <c r="H13" s="517">
        <f t="shared" si="1"/>
        <v>12813</v>
      </c>
      <c r="I13" s="519"/>
      <c r="J13" s="519"/>
      <c r="K13" s="515"/>
      <c r="L13" s="516"/>
      <c r="M13" s="516"/>
      <c r="N13" s="520">
        <f t="shared" si="0"/>
        <v>0</v>
      </c>
    </row>
    <row r="14" spans="2:18">
      <c r="B14" s="522"/>
      <c r="C14" s="532"/>
      <c r="D14" s="533"/>
      <c r="E14" s="515"/>
      <c r="F14" s="516"/>
      <c r="G14" s="516"/>
      <c r="H14" s="517">
        <f t="shared" si="1"/>
        <v>12813</v>
      </c>
      <c r="I14" s="519"/>
      <c r="J14" s="519"/>
      <c r="K14" s="515"/>
      <c r="L14" s="516"/>
      <c r="M14" s="516"/>
      <c r="N14" s="520">
        <f t="shared" si="0"/>
        <v>0</v>
      </c>
    </row>
    <row r="15" spans="2:18">
      <c r="B15" s="522"/>
      <c r="C15" s="523"/>
      <c r="D15" s="524"/>
      <c r="E15" s="515"/>
      <c r="F15" s="516"/>
      <c r="G15" s="516"/>
      <c r="H15" s="517">
        <f t="shared" si="1"/>
        <v>12813</v>
      </c>
      <c r="I15" s="519"/>
      <c r="J15" s="519"/>
      <c r="K15" s="515"/>
      <c r="L15" s="516"/>
      <c r="M15" s="516"/>
      <c r="N15" s="520">
        <f t="shared" si="0"/>
        <v>0</v>
      </c>
    </row>
    <row r="16" spans="2:18">
      <c r="B16" s="522"/>
      <c r="C16" s="523"/>
      <c r="D16" s="524"/>
      <c r="E16" s="515"/>
      <c r="F16" s="516"/>
      <c r="G16" s="516"/>
      <c r="H16" s="517">
        <f t="shared" si="1"/>
        <v>12813</v>
      </c>
      <c r="I16" s="519"/>
      <c r="J16" s="519"/>
      <c r="K16" s="515"/>
      <c r="L16" s="516"/>
      <c r="M16" s="516"/>
      <c r="N16" s="520">
        <f t="shared" si="0"/>
        <v>0</v>
      </c>
    </row>
    <row r="17" spans="2:14">
      <c r="B17" s="522"/>
      <c r="C17" s="523"/>
      <c r="D17" s="524"/>
      <c r="E17" s="515"/>
      <c r="F17" s="516"/>
      <c r="G17" s="516"/>
      <c r="H17" s="517">
        <f t="shared" si="1"/>
        <v>12813</v>
      </c>
      <c r="I17" s="519"/>
      <c r="J17" s="519"/>
      <c r="K17" s="534"/>
      <c r="L17" s="516"/>
      <c r="M17" s="516"/>
      <c r="N17" s="520">
        <f t="shared" si="0"/>
        <v>0</v>
      </c>
    </row>
    <row r="18" spans="2:14">
      <c r="B18" s="522"/>
      <c r="C18" s="523"/>
      <c r="D18" s="524"/>
      <c r="E18" s="515"/>
      <c r="F18" s="516"/>
      <c r="G18" s="516"/>
      <c r="H18" s="517">
        <f t="shared" si="1"/>
        <v>12813</v>
      </c>
      <c r="I18" s="519"/>
      <c r="J18" s="519"/>
      <c r="K18" s="534"/>
      <c r="L18" s="516"/>
      <c r="M18" s="516"/>
      <c r="N18" s="520">
        <f t="shared" si="0"/>
        <v>0</v>
      </c>
    </row>
    <row r="19" spans="2:14">
      <c r="B19" s="522"/>
      <c r="C19" s="523"/>
      <c r="D19" s="524"/>
      <c r="E19" s="515"/>
      <c r="F19" s="516"/>
      <c r="G19" s="516"/>
      <c r="H19" s="517">
        <f t="shared" si="1"/>
        <v>12813</v>
      </c>
      <c r="I19" s="519"/>
      <c r="J19" s="519"/>
      <c r="K19" s="534"/>
      <c r="L19" s="516"/>
      <c r="M19" s="516"/>
      <c r="N19" s="520">
        <f t="shared" si="0"/>
        <v>0</v>
      </c>
    </row>
    <row r="20" spans="2:14">
      <c r="B20" s="522"/>
      <c r="C20" s="523"/>
      <c r="D20" s="524"/>
      <c r="E20" s="515"/>
      <c r="F20" s="516"/>
      <c r="G20" s="516"/>
      <c r="H20" s="517">
        <f t="shared" si="1"/>
        <v>12813</v>
      </c>
      <c r="I20" s="519"/>
      <c r="J20" s="519"/>
      <c r="K20" s="534"/>
      <c r="L20" s="516"/>
      <c r="M20" s="516"/>
      <c r="N20" s="520">
        <f t="shared" si="0"/>
        <v>0</v>
      </c>
    </row>
    <row r="21" spans="2:14">
      <c r="B21" s="522"/>
      <c r="C21" s="523"/>
      <c r="D21" s="524"/>
      <c r="E21" s="515"/>
      <c r="F21" s="516"/>
      <c r="G21" s="516"/>
      <c r="H21" s="517">
        <f t="shared" si="1"/>
        <v>12813</v>
      </c>
      <c r="I21" s="519"/>
      <c r="J21" s="519"/>
      <c r="K21" s="534"/>
      <c r="L21" s="516"/>
      <c r="M21" s="516"/>
      <c r="N21" s="520">
        <f t="shared" si="0"/>
        <v>0</v>
      </c>
    </row>
    <row r="22" spans="2:14">
      <c r="B22" s="522"/>
      <c r="C22" s="523"/>
      <c r="D22" s="524"/>
      <c r="E22" s="515"/>
      <c r="F22" s="516"/>
      <c r="G22" s="516"/>
      <c r="H22" s="517">
        <f t="shared" si="1"/>
        <v>12813</v>
      </c>
      <c r="I22" s="519"/>
      <c r="J22" s="519"/>
      <c r="K22" s="534"/>
      <c r="L22" s="516"/>
      <c r="M22" s="516"/>
      <c r="N22" s="520">
        <f t="shared" si="0"/>
        <v>0</v>
      </c>
    </row>
    <row r="23" spans="2:14">
      <c r="B23" s="522"/>
      <c r="C23" s="523"/>
      <c r="D23" s="524"/>
      <c r="E23" s="515"/>
      <c r="F23" s="516"/>
      <c r="G23" s="516"/>
      <c r="H23" s="517">
        <f t="shared" si="1"/>
        <v>12813</v>
      </c>
      <c r="I23" s="519"/>
      <c r="J23" s="519"/>
      <c r="K23" s="534"/>
      <c r="L23" s="516"/>
      <c r="M23" s="516"/>
      <c r="N23" s="520">
        <f t="shared" si="0"/>
        <v>0</v>
      </c>
    </row>
    <row r="24" spans="2:14">
      <c r="B24" s="522"/>
      <c r="C24" s="530"/>
      <c r="D24" s="531"/>
      <c r="E24" s="515"/>
      <c r="F24" s="516"/>
      <c r="G24" s="516"/>
      <c r="H24" s="517">
        <f t="shared" si="1"/>
        <v>12813</v>
      </c>
      <c r="I24" s="519"/>
      <c r="J24" s="519"/>
      <c r="K24" s="534"/>
      <c r="L24" s="516"/>
      <c r="M24" s="516"/>
      <c r="N24" s="520">
        <f t="shared" si="0"/>
        <v>0</v>
      </c>
    </row>
    <row r="25" spans="2:14">
      <c r="B25" s="522"/>
      <c r="C25" s="523"/>
      <c r="D25" s="524"/>
      <c r="E25" s="515"/>
      <c r="F25" s="516"/>
      <c r="G25" s="516"/>
      <c r="H25" s="517">
        <f t="shared" si="1"/>
        <v>12813</v>
      </c>
      <c r="I25" s="519"/>
      <c r="J25" s="519"/>
      <c r="K25" s="534"/>
      <c r="L25" s="516"/>
      <c r="M25" s="516"/>
      <c r="N25" s="520">
        <f t="shared" si="0"/>
        <v>0</v>
      </c>
    </row>
    <row r="26" spans="2:14">
      <c r="B26" s="522"/>
      <c r="C26" s="523"/>
      <c r="D26" s="524"/>
      <c r="E26" s="515"/>
      <c r="F26" s="516"/>
      <c r="G26" s="516"/>
      <c r="H26" s="517">
        <f t="shared" si="1"/>
        <v>12813</v>
      </c>
      <c r="I26" s="519"/>
      <c r="J26" s="519"/>
      <c r="K26" s="534"/>
      <c r="L26" s="516"/>
      <c r="M26" s="516"/>
      <c r="N26" s="520">
        <f t="shared" si="0"/>
        <v>0</v>
      </c>
    </row>
    <row r="27" spans="2:14">
      <c r="B27" s="522"/>
      <c r="C27" s="523"/>
      <c r="D27" s="524"/>
      <c r="E27" s="515"/>
      <c r="F27" s="516"/>
      <c r="G27" s="516"/>
      <c r="H27" s="517">
        <f t="shared" si="1"/>
        <v>12813</v>
      </c>
      <c r="I27" s="519"/>
      <c r="J27" s="519"/>
      <c r="K27" s="534"/>
      <c r="L27" s="516"/>
      <c r="M27" s="516"/>
      <c r="N27" s="520">
        <f t="shared" si="0"/>
        <v>0</v>
      </c>
    </row>
    <row r="28" spans="2:14">
      <c r="B28" s="522"/>
      <c r="C28" s="523"/>
      <c r="D28" s="524"/>
      <c r="E28" s="515"/>
      <c r="F28" s="516"/>
      <c r="G28" s="516"/>
      <c r="H28" s="517">
        <f t="shared" si="1"/>
        <v>12813</v>
      </c>
      <c r="I28" s="519"/>
      <c r="J28" s="519"/>
      <c r="K28" s="534"/>
      <c r="L28" s="516"/>
      <c r="M28" s="516"/>
      <c r="N28" s="520">
        <f t="shared" si="0"/>
        <v>0</v>
      </c>
    </row>
    <row r="29" spans="2:14">
      <c r="B29" s="522"/>
      <c r="C29" s="523"/>
      <c r="D29" s="524"/>
      <c r="E29" s="515"/>
      <c r="F29" s="516"/>
      <c r="G29" s="516"/>
      <c r="H29" s="517">
        <f t="shared" si="1"/>
        <v>12813</v>
      </c>
      <c r="I29" s="519"/>
      <c r="J29" s="519"/>
      <c r="K29" s="534"/>
      <c r="L29" s="516"/>
      <c r="M29" s="516"/>
      <c r="N29" s="520">
        <f t="shared" si="0"/>
        <v>0</v>
      </c>
    </row>
    <row r="30" spans="2:14">
      <c r="B30" s="522"/>
      <c r="C30" s="523"/>
      <c r="D30" s="524"/>
      <c r="E30" s="515"/>
      <c r="F30" s="516"/>
      <c r="G30" s="516"/>
      <c r="H30" s="517">
        <f t="shared" si="1"/>
        <v>12813</v>
      </c>
      <c r="I30" s="519"/>
      <c r="J30" s="519"/>
      <c r="K30" s="534"/>
      <c r="L30" s="516"/>
      <c r="M30" s="516"/>
      <c r="N30" s="520">
        <f t="shared" si="0"/>
        <v>0</v>
      </c>
    </row>
    <row r="31" spans="2:14">
      <c r="B31" s="522"/>
      <c r="C31" s="523"/>
      <c r="D31" s="524"/>
      <c r="E31" s="515"/>
      <c r="F31" s="516"/>
      <c r="G31" s="516"/>
      <c r="H31" s="517">
        <f t="shared" si="1"/>
        <v>12813</v>
      </c>
      <c r="I31" s="519"/>
      <c r="J31" s="519"/>
      <c r="K31" s="534"/>
      <c r="L31" s="516"/>
      <c r="M31" s="516"/>
      <c r="N31" s="520">
        <f t="shared" si="0"/>
        <v>0</v>
      </c>
    </row>
    <row r="32" spans="2:14">
      <c r="B32" s="522"/>
      <c r="C32" s="530"/>
      <c r="D32" s="531"/>
      <c r="E32" s="515"/>
      <c r="F32" s="516"/>
      <c r="G32" s="516"/>
      <c r="H32" s="517">
        <f t="shared" si="1"/>
        <v>12813</v>
      </c>
      <c r="I32" s="519"/>
      <c r="J32" s="519"/>
      <c r="K32" s="534"/>
      <c r="L32" s="516"/>
      <c r="M32" s="516"/>
      <c r="N32" s="520">
        <f t="shared" si="0"/>
        <v>0</v>
      </c>
    </row>
    <row r="33" spans="2:14">
      <c r="B33" s="522"/>
      <c r="C33" s="532"/>
      <c r="D33" s="533"/>
      <c r="E33" s="515"/>
      <c r="F33" s="516"/>
      <c r="G33" s="516"/>
      <c r="H33" s="517">
        <f t="shared" si="1"/>
        <v>12813</v>
      </c>
      <c r="I33" s="519"/>
      <c r="J33" s="519"/>
      <c r="K33" s="534"/>
      <c r="L33" s="516"/>
      <c r="M33" s="516"/>
      <c r="N33" s="520">
        <f t="shared" si="0"/>
        <v>0</v>
      </c>
    </row>
    <row r="34" spans="2:14" ht="12.75" customHeight="1">
      <c r="B34" s="2340" t="s">
        <v>667</v>
      </c>
      <c r="C34" s="2341"/>
      <c r="D34" s="2341"/>
      <c r="E34" s="2341"/>
      <c r="F34" s="2341"/>
      <c r="G34" s="2342"/>
      <c r="H34" s="517">
        <f t="shared" si="1"/>
        <v>12813</v>
      </c>
      <c r="I34" s="519"/>
      <c r="J34" s="519"/>
      <c r="K34" s="534"/>
      <c r="L34" s="516"/>
      <c r="M34" s="516"/>
      <c r="N34" s="520">
        <f t="shared" si="0"/>
        <v>0</v>
      </c>
    </row>
    <row r="35" spans="2:14">
      <c r="B35" s="522">
        <v>45752</v>
      </c>
      <c r="C35" s="2303" t="s">
        <v>668</v>
      </c>
      <c r="D35" s="2304"/>
      <c r="E35" s="515"/>
      <c r="F35" s="516"/>
      <c r="G35" s="516">
        <v>5000</v>
      </c>
      <c r="H35" s="517">
        <f t="shared" si="1"/>
        <v>7813</v>
      </c>
      <c r="I35" s="519"/>
      <c r="J35" s="519"/>
      <c r="K35" s="534"/>
      <c r="L35" s="516"/>
      <c r="M35" s="516"/>
      <c r="N35" s="520">
        <f t="shared" si="0"/>
        <v>0</v>
      </c>
    </row>
    <row r="36" spans="2:14">
      <c r="B36" s="522">
        <v>45752</v>
      </c>
      <c r="C36" s="2303" t="s">
        <v>669</v>
      </c>
      <c r="D36" s="2304"/>
      <c r="E36" s="515"/>
      <c r="F36" s="516"/>
      <c r="G36" s="516">
        <v>500</v>
      </c>
      <c r="H36" s="517">
        <f t="shared" si="1"/>
        <v>7313</v>
      </c>
      <c r="I36" s="519"/>
      <c r="J36" s="519"/>
      <c r="K36" s="534"/>
      <c r="L36" s="516"/>
      <c r="M36" s="516"/>
      <c r="N36" s="520">
        <f t="shared" si="0"/>
        <v>0</v>
      </c>
    </row>
    <row r="37" spans="2:14">
      <c r="B37" s="522">
        <v>45752</v>
      </c>
      <c r="C37" s="2303" t="s">
        <v>670</v>
      </c>
      <c r="D37" s="2304"/>
      <c r="E37" s="515"/>
      <c r="F37" s="516"/>
      <c r="G37" s="516">
        <v>2000</v>
      </c>
      <c r="H37" s="517">
        <f t="shared" si="1"/>
        <v>5313</v>
      </c>
      <c r="I37" s="519"/>
      <c r="J37" s="519"/>
      <c r="K37" s="534"/>
      <c r="L37" s="516"/>
      <c r="M37" s="516"/>
      <c r="N37" s="520">
        <f t="shared" si="0"/>
        <v>0</v>
      </c>
    </row>
    <row r="38" spans="2:14">
      <c r="B38" s="522">
        <v>45752</v>
      </c>
      <c r="C38" s="523" t="s">
        <v>671</v>
      </c>
      <c r="D38" s="524"/>
      <c r="E38" s="515"/>
      <c r="F38" s="516"/>
      <c r="G38" s="516">
        <v>300</v>
      </c>
      <c r="H38" s="517">
        <f t="shared" si="1"/>
        <v>5013</v>
      </c>
      <c r="I38" s="519"/>
      <c r="J38" s="519"/>
      <c r="K38" s="534"/>
      <c r="L38" s="516"/>
      <c r="M38" s="516"/>
      <c r="N38" s="520">
        <f t="shared" si="0"/>
        <v>0</v>
      </c>
    </row>
    <row r="39" spans="2:14">
      <c r="B39" s="522">
        <v>45752</v>
      </c>
      <c r="C39" s="2303" t="s">
        <v>672</v>
      </c>
      <c r="D39" s="2304"/>
      <c r="E39" s="515"/>
      <c r="F39" s="516"/>
      <c r="G39" s="516">
        <v>700</v>
      </c>
      <c r="H39" s="517">
        <f t="shared" si="1"/>
        <v>4313</v>
      </c>
      <c r="I39" s="519"/>
      <c r="J39" s="519"/>
      <c r="K39" s="534"/>
      <c r="L39" s="516"/>
      <c r="M39" s="516"/>
      <c r="N39" s="520">
        <f t="shared" si="0"/>
        <v>0</v>
      </c>
    </row>
    <row r="40" spans="2:14">
      <c r="B40" s="522">
        <v>45752</v>
      </c>
      <c r="C40" s="2303" t="s">
        <v>673</v>
      </c>
      <c r="D40" s="2304"/>
      <c r="E40" s="515"/>
      <c r="F40" s="516"/>
      <c r="G40" s="516">
        <v>2000</v>
      </c>
      <c r="H40" s="517">
        <f t="shared" si="1"/>
        <v>2313</v>
      </c>
      <c r="I40" s="519"/>
      <c r="J40" s="519"/>
      <c r="K40" s="534"/>
      <c r="L40" s="516"/>
      <c r="M40" s="516"/>
      <c r="N40" s="520">
        <f t="shared" si="0"/>
        <v>0</v>
      </c>
    </row>
    <row r="41" spans="2:14">
      <c r="B41" s="522">
        <v>45807</v>
      </c>
      <c r="C41" s="2303" t="s">
        <v>674</v>
      </c>
      <c r="D41" s="2304"/>
      <c r="E41" s="515"/>
      <c r="F41" s="516"/>
      <c r="G41" s="516">
        <v>2000</v>
      </c>
      <c r="H41" s="517">
        <f t="shared" si="1"/>
        <v>313</v>
      </c>
      <c r="I41" s="519"/>
      <c r="J41" s="519"/>
      <c r="K41" s="534"/>
      <c r="L41" s="516"/>
      <c r="M41" s="516"/>
      <c r="N41" s="520">
        <f t="shared" si="0"/>
        <v>0</v>
      </c>
    </row>
    <row r="42" spans="2:14">
      <c r="B42" s="522"/>
      <c r="C42" s="2303"/>
      <c r="D42" s="2304"/>
      <c r="E42" s="515"/>
      <c r="F42" s="516"/>
      <c r="G42" s="516"/>
      <c r="H42" s="517">
        <f t="shared" si="1"/>
        <v>313</v>
      </c>
      <c r="I42" s="519"/>
      <c r="J42" s="519"/>
      <c r="K42" s="534"/>
      <c r="L42" s="516"/>
      <c r="M42" s="516"/>
      <c r="N42" s="520">
        <f t="shared" si="0"/>
        <v>0</v>
      </c>
    </row>
    <row r="43" spans="2:14">
      <c r="B43" s="522"/>
      <c r="C43" s="2303"/>
      <c r="D43" s="2304"/>
      <c r="E43" s="515"/>
      <c r="F43" s="516"/>
      <c r="G43" s="516"/>
      <c r="H43" s="517">
        <f t="shared" si="1"/>
        <v>313</v>
      </c>
      <c r="I43" s="519"/>
      <c r="J43" s="519"/>
      <c r="K43" s="534"/>
      <c r="L43" s="516"/>
      <c r="M43" s="516"/>
      <c r="N43" s="520">
        <f t="shared" si="0"/>
        <v>0</v>
      </c>
    </row>
    <row r="44" spans="2:14">
      <c r="B44" s="522"/>
      <c r="C44" s="2305"/>
      <c r="D44" s="2306"/>
      <c r="E44" s="515"/>
      <c r="F44" s="516"/>
      <c r="G44" s="516"/>
      <c r="H44" s="517">
        <f t="shared" si="1"/>
        <v>313</v>
      </c>
      <c r="I44" s="519"/>
      <c r="J44" s="519"/>
      <c r="K44" s="534"/>
      <c r="L44" s="516"/>
      <c r="M44" s="516"/>
      <c r="N44" s="520"/>
    </row>
    <row r="45" spans="2:14" ht="12.75" customHeight="1">
      <c r="B45" s="2307" t="s">
        <v>675</v>
      </c>
      <c r="C45" s="2308"/>
      <c r="D45" s="2308"/>
      <c r="E45" s="2309"/>
      <c r="F45" s="535">
        <f>SUM(F7:F44)</f>
        <v>50813</v>
      </c>
      <c r="G45" s="535">
        <f>SUM(G7:G44)</f>
        <v>50500</v>
      </c>
      <c r="H45" s="536">
        <f>F45-G45</f>
        <v>313</v>
      </c>
      <c r="I45" s="2310" t="s">
        <v>676</v>
      </c>
      <c r="J45" s="2311"/>
      <c r="K45" s="2312"/>
      <c r="L45" s="537">
        <f>SUM(L7:L44)</f>
        <v>0</v>
      </c>
      <c r="M45" s="537">
        <f>SUM(M7:M44)</f>
        <v>0</v>
      </c>
      <c r="N45" s="538">
        <f>L45-M45</f>
        <v>0</v>
      </c>
    </row>
    <row r="46" spans="2:14" ht="13.5" customHeight="1" thickBot="1">
      <c r="B46" s="2313" t="s">
        <v>677</v>
      </c>
      <c r="C46" s="2314"/>
      <c r="D46" s="2314"/>
      <c r="E46" s="2315"/>
      <c r="F46" s="539">
        <f>SUM(J7:J44)</f>
        <v>75000</v>
      </c>
      <c r="G46" s="539">
        <f>SUM(M7:M44)</f>
        <v>0</v>
      </c>
      <c r="H46" s="540">
        <f>N45</f>
        <v>0</v>
      </c>
      <c r="I46" s="2316" t="s">
        <v>678</v>
      </c>
      <c r="J46" s="2317"/>
      <c r="K46" s="2318"/>
      <c r="L46" s="2319">
        <f>H45+H46</f>
        <v>313</v>
      </c>
      <c r="M46" s="2320"/>
      <c r="N46" s="2321"/>
    </row>
    <row r="47" spans="2:14" ht="10.5" thickBot="1">
      <c r="B47" s="541"/>
      <c r="C47" s="541"/>
      <c r="F47" s="541"/>
      <c r="G47" s="541"/>
      <c r="H47" s="541"/>
      <c r="I47" s="541"/>
      <c r="J47" s="541"/>
      <c r="L47" s="541"/>
      <c r="M47" s="541"/>
      <c r="N47" s="541"/>
    </row>
    <row r="48" spans="2:14" ht="13.5" customHeight="1" thickBot="1">
      <c r="B48" s="2322" t="s">
        <v>679</v>
      </c>
      <c r="C48" s="2323"/>
      <c r="D48" s="2324"/>
      <c r="E48" s="542">
        <v>0.45</v>
      </c>
      <c r="F48" s="543">
        <v>70000</v>
      </c>
      <c r="G48" s="544">
        <v>32000</v>
      </c>
      <c r="H48" s="545">
        <f>F48-G48</f>
        <v>38000</v>
      </c>
      <c r="I48" s="2325" t="s">
        <v>680</v>
      </c>
      <c r="J48" s="2326"/>
      <c r="K48" s="2326"/>
      <c r="L48" s="2326"/>
      <c r="M48" s="2326"/>
      <c r="N48" s="2327"/>
    </row>
    <row r="49" spans="2:14" ht="13.5" customHeight="1" thickBot="1">
      <c r="B49" s="2313" t="s">
        <v>681</v>
      </c>
      <c r="C49" s="2314"/>
      <c r="D49" s="2314"/>
      <c r="E49" s="2315"/>
      <c r="F49" s="539"/>
      <c r="G49" s="539">
        <f>SUM(G35:G44)</f>
        <v>12500</v>
      </c>
      <c r="H49" s="546">
        <f>H48-G49</f>
        <v>25500</v>
      </c>
      <c r="I49" s="2328" t="s">
        <v>682</v>
      </c>
      <c r="J49" s="2329"/>
      <c r="K49" s="2329"/>
      <c r="L49" s="2329"/>
      <c r="M49" s="2329"/>
      <c r="N49" s="2330"/>
    </row>
    <row r="50" spans="2:14">
      <c r="B50" s="2301" t="s">
        <v>683</v>
      </c>
      <c r="C50" s="2301"/>
      <c r="D50" s="541"/>
      <c r="F50" s="498" t="s">
        <v>121</v>
      </c>
      <c r="G50" s="498"/>
      <c r="H50" s="2302" t="str">
        <f>'0F Lj'!D80</f>
        <v xml:space="preserve"> Sistema ByDesigner Desenvolvido Neri (21) 97014-2420</v>
      </c>
      <c r="I50" s="2302"/>
      <c r="J50" s="2302"/>
      <c r="K50" s="2302"/>
      <c r="L50" s="2302"/>
      <c r="M50" s="2302"/>
      <c r="N50" s="2302"/>
    </row>
    <row r="52" spans="2:14">
      <c r="B52" s="541"/>
      <c r="C52" s="541"/>
      <c r="F52" s="541"/>
      <c r="G52" s="541"/>
      <c r="H52" s="541"/>
      <c r="I52" s="541"/>
      <c r="J52" s="541"/>
      <c r="L52" s="541"/>
      <c r="M52" s="541"/>
      <c r="N52" s="541"/>
    </row>
  </sheetData>
  <sheetProtection algorithmName="SHA-512" hashValue="2+st4Q0Q79kq/3UV/tWd1YvNmeI8K76mh/2qTMlUTYo+zHVZbCV4GEZ/37XWmM7i4PZczYoB7kyc7yCD4r8RTQ==" saltValue="afIVlS4Szi0rKMaSiYYwIQ==" spinCount="100000" sheet="1" objects="1" scenarios="1"/>
  <mergeCells count="26">
    <mergeCell ref="C41:D41"/>
    <mergeCell ref="B2:E2"/>
    <mergeCell ref="F2:N2"/>
    <mergeCell ref="B4:L4"/>
    <mergeCell ref="B5:H5"/>
    <mergeCell ref="I5:N5"/>
    <mergeCell ref="B34:G34"/>
    <mergeCell ref="C35:D35"/>
    <mergeCell ref="C36:D36"/>
    <mergeCell ref="C37:D37"/>
    <mergeCell ref="C39:D39"/>
    <mergeCell ref="C40:D40"/>
    <mergeCell ref="B50:C50"/>
    <mergeCell ref="H50:N50"/>
    <mergeCell ref="C42:D42"/>
    <mergeCell ref="C43:D43"/>
    <mergeCell ref="C44:D44"/>
    <mergeCell ref="B45:E45"/>
    <mergeCell ref="I45:K45"/>
    <mergeCell ref="B46:E46"/>
    <mergeCell ref="I46:K46"/>
    <mergeCell ref="L46:N46"/>
    <mergeCell ref="B48:D48"/>
    <mergeCell ref="I48:N48"/>
    <mergeCell ref="B49:E49"/>
    <mergeCell ref="I49:N49"/>
  </mergeCells>
  <printOptions horizontalCentered="1" verticalCentered="1"/>
  <pageMargins left="0" right="0" top="0.78740157480314965" bottom="0.78740157480314965"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B1:K50"/>
  <sheetViews>
    <sheetView zoomScale="120" zoomScaleNormal="120" workbookViewId="0">
      <selection activeCell="B47" sqref="B47"/>
    </sheetView>
  </sheetViews>
  <sheetFormatPr defaultColWidth="9.1796875" defaultRowHeight="12.5"/>
  <cols>
    <col min="1" max="1" width="1.1796875" style="55" customWidth="1"/>
    <col min="2" max="2" width="8.453125" style="55" bestFit="1" customWidth="1"/>
    <col min="3" max="3" width="17.81640625" style="55" customWidth="1"/>
    <col min="4" max="4" width="6.1796875" style="56" customWidth="1"/>
    <col min="5" max="5" width="19.54296875" style="55" customWidth="1"/>
    <col min="6" max="6" width="19.26953125" style="55" customWidth="1"/>
    <col min="7" max="7" width="19.81640625" style="55" customWidth="1"/>
    <col min="8" max="16384" width="9.1796875" style="55"/>
  </cols>
  <sheetData>
    <row r="1" spans="2:11" ht="13" thickBot="1"/>
    <row r="2" spans="2:11" ht="32.25" customHeight="1" thickBot="1">
      <c r="B2" s="2367" t="str">
        <f>'0F Lj'!D12</f>
        <v>Razão Social da Loja</v>
      </c>
      <c r="C2" s="2368"/>
      <c r="D2" s="2368"/>
      <c r="E2" s="2367" t="str">
        <f>'0F Lj'!D13</f>
        <v>Nome Fantasia Loja</v>
      </c>
      <c r="F2" s="2368"/>
      <c r="G2" s="2369"/>
      <c r="J2" s="56"/>
    </row>
    <row r="3" spans="2:11" ht="9.75" customHeight="1" thickBot="1">
      <c r="B3" s="2370"/>
      <c r="C3" s="2371"/>
      <c r="D3" s="547"/>
      <c r="E3" s="547"/>
      <c r="F3" s="547"/>
      <c r="G3" s="548"/>
      <c r="J3" s="56"/>
    </row>
    <row r="4" spans="2:11" ht="23" thickBot="1">
      <c r="B4" s="2372" t="s">
        <v>684</v>
      </c>
      <c r="C4" s="2373"/>
      <c r="D4" s="2373"/>
      <c r="E4" s="2373"/>
      <c r="F4" s="2373"/>
      <c r="G4" s="2374"/>
      <c r="J4" s="56"/>
    </row>
    <row r="5" spans="2:11" ht="6" customHeight="1" thickBot="1">
      <c r="B5" s="549"/>
      <c r="G5" s="550"/>
      <c r="K5" s="551"/>
    </row>
    <row r="6" spans="2:11" ht="18" thickBot="1">
      <c r="B6" s="2375" t="s">
        <v>18</v>
      </c>
      <c r="C6" s="2376"/>
      <c r="D6" s="2377"/>
      <c r="E6" s="2361" t="str">
        <f>'[9]F Lj'!$F$15</f>
        <v>Barra</v>
      </c>
      <c r="F6" s="2362"/>
      <c r="G6" s="552" t="s">
        <v>685</v>
      </c>
      <c r="J6" s="56"/>
    </row>
    <row r="7" spans="2:11" ht="13" thickBot="1">
      <c r="B7" s="553"/>
      <c r="C7" s="554"/>
      <c r="D7" s="555"/>
      <c r="E7" s="554"/>
      <c r="F7" s="555"/>
      <c r="G7" s="726"/>
      <c r="K7" s="551"/>
    </row>
    <row r="8" spans="2:11" s="56" customFormat="1" ht="16" thickBot="1">
      <c r="B8" s="719" t="s">
        <v>459</v>
      </c>
      <c r="C8" s="2361" t="s">
        <v>460</v>
      </c>
      <c r="D8" s="2362"/>
      <c r="E8" s="556" t="s">
        <v>484</v>
      </c>
      <c r="F8" s="557" t="s">
        <v>485</v>
      </c>
      <c r="G8" s="558" t="s">
        <v>686</v>
      </c>
      <c r="J8" s="559"/>
    </row>
    <row r="9" spans="2:11" ht="15.5">
      <c r="B9" s="560">
        <v>45658</v>
      </c>
      <c r="C9" s="2363" t="s">
        <v>687</v>
      </c>
      <c r="D9" s="2364"/>
      <c r="E9" s="561">
        <v>85000</v>
      </c>
      <c r="F9" s="562">
        <v>76000</v>
      </c>
      <c r="G9" s="563">
        <f>E9-F9</f>
        <v>9000</v>
      </c>
      <c r="I9" s="564"/>
    </row>
    <row r="10" spans="2:11" ht="15.5">
      <c r="B10" s="560"/>
      <c r="C10" s="2359"/>
      <c r="D10" s="2360"/>
      <c r="E10" s="561"/>
      <c r="F10" s="565"/>
      <c r="G10" s="563"/>
      <c r="I10" s="564"/>
    </row>
    <row r="11" spans="2:11" ht="15.5">
      <c r="B11" s="566">
        <v>45689</v>
      </c>
      <c r="C11" s="2365" t="s">
        <v>687</v>
      </c>
      <c r="D11" s="2366"/>
      <c r="E11" s="562">
        <v>26000</v>
      </c>
      <c r="F11" s="562">
        <v>20000</v>
      </c>
      <c r="G11" s="563">
        <f>E11-F11</f>
        <v>6000</v>
      </c>
    </row>
    <row r="12" spans="2:11" ht="15.5">
      <c r="B12" s="567"/>
      <c r="C12" s="2359"/>
      <c r="D12" s="2360"/>
      <c r="E12" s="562"/>
      <c r="F12" s="562"/>
      <c r="G12" s="568"/>
    </row>
    <row r="13" spans="2:11" ht="15.5">
      <c r="B13" s="567">
        <v>45717</v>
      </c>
      <c r="C13" s="2345" t="s">
        <v>687</v>
      </c>
      <c r="D13" s="2345"/>
      <c r="E13" s="562">
        <v>56000</v>
      </c>
      <c r="F13" s="562">
        <v>33000</v>
      </c>
      <c r="G13" s="563">
        <f>E13-F13</f>
        <v>23000</v>
      </c>
    </row>
    <row r="14" spans="2:11" ht="15.5">
      <c r="B14" s="567"/>
      <c r="C14" s="2359"/>
      <c r="D14" s="2360"/>
      <c r="E14" s="744"/>
      <c r="F14" s="562"/>
      <c r="G14" s="568"/>
    </row>
    <row r="15" spans="2:11" ht="15.5">
      <c r="B15" s="567">
        <v>45748</v>
      </c>
      <c r="C15" s="2345" t="s">
        <v>687</v>
      </c>
      <c r="D15" s="2345"/>
      <c r="E15" s="562">
        <v>26000</v>
      </c>
      <c r="F15" s="562">
        <v>15000</v>
      </c>
      <c r="G15" s="563">
        <f>E15-F15</f>
        <v>11000</v>
      </c>
    </row>
    <row r="16" spans="2:11" ht="15.5">
      <c r="B16" s="567"/>
      <c r="C16" s="2359"/>
      <c r="D16" s="2360"/>
      <c r="E16" s="562"/>
      <c r="F16" s="562"/>
      <c r="G16" s="568"/>
    </row>
    <row r="17" spans="2:7" ht="15.5">
      <c r="B17" s="567">
        <v>45778</v>
      </c>
      <c r="C17" s="2345" t="s">
        <v>687</v>
      </c>
      <c r="D17" s="2345"/>
      <c r="E17" s="562">
        <v>52000</v>
      </c>
      <c r="F17" s="562">
        <v>33000</v>
      </c>
      <c r="G17" s="563">
        <f>E17-F17</f>
        <v>19000</v>
      </c>
    </row>
    <row r="18" spans="2:7" ht="15.5">
      <c r="B18" s="567"/>
      <c r="C18" s="2359"/>
      <c r="D18" s="2360"/>
      <c r="E18" s="562"/>
      <c r="F18" s="562"/>
      <c r="G18" s="568"/>
    </row>
    <row r="19" spans="2:7" ht="15.5">
      <c r="B19" s="567">
        <v>45809</v>
      </c>
      <c r="C19" s="2345" t="s">
        <v>687</v>
      </c>
      <c r="D19" s="2345"/>
      <c r="E19" s="562">
        <v>26000</v>
      </c>
      <c r="F19" s="562">
        <v>20000</v>
      </c>
      <c r="G19" s="563">
        <f>E19-F19</f>
        <v>6000</v>
      </c>
    </row>
    <row r="20" spans="2:7" ht="15.5">
      <c r="B20" s="567"/>
      <c r="C20" s="2359"/>
      <c r="D20" s="2360"/>
      <c r="E20" s="562"/>
      <c r="F20" s="562"/>
      <c r="G20" s="568"/>
    </row>
    <row r="21" spans="2:7" ht="15.5">
      <c r="B21" s="567">
        <v>45839</v>
      </c>
      <c r="C21" s="2345" t="s">
        <v>687</v>
      </c>
      <c r="D21" s="2345"/>
      <c r="E21" s="562">
        <v>42000</v>
      </c>
      <c r="F21" s="562">
        <v>46700</v>
      </c>
      <c r="G21" s="563">
        <f>E21-F21</f>
        <v>-4700</v>
      </c>
    </row>
    <row r="22" spans="2:7" ht="15.5">
      <c r="B22" s="567"/>
      <c r="C22" s="2359"/>
      <c r="D22" s="2360"/>
      <c r="E22" s="562"/>
      <c r="F22" s="562"/>
      <c r="G22" s="568"/>
    </row>
    <row r="23" spans="2:7" ht="15.5">
      <c r="B23" s="567">
        <v>45870</v>
      </c>
      <c r="C23" s="2345" t="s">
        <v>687</v>
      </c>
      <c r="D23" s="2345"/>
      <c r="E23" s="562">
        <v>48000</v>
      </c>
      <c r="F23" s="562">
        <v>39000</v>
      </c>
      <c r="G23" s="563">
        <f>E23-F23</f>
        <v>9000</v>
      </c>
    </row>
    <row r="24" spans="2:7" ht="15.5">
      <c r="B24" s="567"/>
      <c r="C24" s="2359"/>
      <c r="D24" s="2360"/>
      <c r="E24" s="562"/>
      <c r="F24" s="562"/>
      <c r="G24" s="568"/>
    </row>
    <row r="25" spans="2:7" ht="15.5">
      <c r="B25" s="567">
        <v>45901</v>
      </c>
      <c r="C25" s="2345" t="s">
        <v>687</v>
      </c>
      <c r="D25" s="2345"/>
      <c r="E25" s="562">
        <v>35800</v>
      </c>
      <c r="F25" s="562">
        <v>34000</v>
      </c>
      <c r="G25" s="563">
        <f>E25-F25</f>
        <v>1800</v>
      </c>
    </row>
    <row r="26" spans="2:7" ht="15.5">
      <c r="B26" s="567"/>
      <c r="C26" s="2359"/>
      <c r="D26" s="2360"/>
      <c r="E26" s="562"/>
      <c r="F26" s="562"/>
      <c r="G26" s="568"/>
    </row>
    <row r="27" spans="2:7" ht="15.5">
      <c r="B27" s="567">
        <v>45931</v>
      </c>
      <c r="C27" s="2345" t="s">
        <v>687</v>
      </c>
      <c r="D27" s="2345"/>
      <c r="E27" s="562"/>
      <c r="F27" s="562"/>
      <c r="G27" s="563">
        <f>E27-F27</f>
        <v>0</v>
      </c>
    </row>
    <row r="28" spans="2:7" ht="15.5">
      <c r="B28" s="567"/>
      <c r="C28" s="2359"/>
      <c r="D28" s="2360"/>
      <c r="E28" s="569"/>
      <c r="F28" s="562"/>
      <c r="G28" s="568"/>
    </row>
    <row r="29" spans="2:7" ht="15.5">
      <c r="B29" s="567">
        <v>45962</v>
      </c>
      <c r="C29" s="2345" t="s">
        <v>687</v>
      </c>
      <c r="D29" s="2345"/>
      <c r="E29" s="562"/>
      <c r="F29" s="562"/>
      <c r="G29" s="563">
        <f>E29-F29</f>
        <v>0</v>
      </c>
    </row>
    <row r="30" spans="2:7" ht="15.5">
      <c r="B30" s="567"/>
      <c r="C30" s="2359"/>
      <c r="D30" s="2360"/>
      <c r="E30" s="569"/>
      <c r="F30" s="562"/>
      <c r="G30" s="568"/>
    </row>
    <row r="31" spans="2:7" ht="15.5">
      <c r="B31" s="567">
        <v>45992</v>
      </c>
      <c r="C31" s="2345" t="s">
        <v>687</v>
      </c>
      <c r="D31" s="2345"/>
      <c r="E31" s="562"/>
      <c r="F31" s="562"/>
      <c r="G31" s="563">
        <f>E31-F31</f>
        <v>0</v>
      </c>
    </row>
    <row r="32" spans="2:7" ht="15.5">
      <c r="B32" s="567"/>
      <c r="C32" s="2345"/>
      <c r="D32" s="2345"/>
      <c r="E32" s="569"/>
      <c r="F32" s="562"/>
      <c r="G32" s="568"/>
    </row>
    <row r="33" spans="2:7" ht="15.5">
      <c r="B33" s="570" t="s">
        <v>688</v>
      </c>
      <c r="C33" s="2345"/>
      <c r="D33" s="2345"/>
      <c r="E33" s="2345"/>
      <c r="F33" s="2345"/>
      <c r="G33" s="2346"/>
    </row>
    <row r="34" spans="2:7" ht="15.5">
      <c r="B34" s="571"/>
      <c r="C34" s="572"/>
      <c r="D34" s="572"/>
      <c r="E34" s="572"/>
      <c r="F34" s="572"/>
      <c r="G34" s="573"/>
    </row>
    <row r="35" spans="2:7" ht="15.5">
      <c r="B35" s="571"/>
      <c r="C35" s="572"/>
      <c r="D35" s="572"/>
      <c r="E35" s="572"/>
      <c r="F35" s="572"/>
      <c r="G35" s="573"/>
    </row>
    <row r="36" spans="2:7" ht="15.5">
      <c r="B36" s="571"/>
      <c r="C36" s="572"/>
      <c r="D36" s="572"/>
      <c r="E36" s="572"/>
      <c r="F36" s="572"/>
      <c r="G36" s="573"/>
    </row>
    <row r="37" spans="2:7" ht="15.5">
      <c r="B37" s="571"/>
      <c r="C37" s="572"/>
      <c r="D37" s="572"/>
      <c r="E37" s="572"/>
      <c r="F37" s="572"/>
      <c r="G37" s="573"/>
    </row>
    <row r="38" spans="2:7" ht="15.5">
      <c r="B38" s="571"/>
      <c r="C38" s="572"/>
      <c r="D38" s="572"/>
      <c r="E38" s="572"/>
      <c r="F38" s="572"/>
      <c r="G38" s="573"/>
    </row>
    <row r="39" spans="2:7" ht="15.5">
      <c r="B39" s="571"/>
      <c r="C39" s="572"/>
      <c r="D39" s="572"/>
      <c r="E39" s="572"/>
      <c r="F39" s="572"/>
      <c r="G39" s="573"/>
    </row>
    <row r="40" spans="2:7" ht="15.5">
      <c r="B40" s="571"/>
      <c r="C40" s="572"/>
      <c r="D40" s="572"/>
      <c r="E40" s="572"/>
      <c r="F40" s="572"/>
      <c r="G40" s="573"/>
    </row>
    <row r="41" spans="2:7" ht="15.5">
      <c r="B41" s="571"/>
      <c r="C41" s="572"/>
      <c r="D41" s="572"/>
      <c r="E41" s="572"/>
      <c r="F41" s="572"/>
      <c r="G41" s="573"/>
    </row>
    <row r="42" spans="2:7" ht="15.5">
      <c r="B42" s="571"/>
      <c r="C42" s="572"/>
      <c r="D42" s="572"/>
      <c r="E42" s="572"/>
      <c r="F42" s="572"/>
      <c r="G42" s="573"/>
    </row>
    <row r="43" spans="2:7" ht="15.5">
      <c r="B43" s="2347" t="s">
        <v>468</v>
      </c>
      <c r="C43" s="2348"/>
      <c r="D43" s="2349"/>
      <c r="E43" s="574">
        <f>SUM(E9:E31)</f>
        <v>396800</v>
      </c>
      <c r="F43" s="574">
        <f>SUM(F9:F31)</f>
        <v>316700</v>
      </c>
      <c r="G43" s="575">
        <f>E43-F43</f>
        <v>80100</v>
      </c>
    </row>
    <row r="44" spans="2:7" ht="15.5">
      <c r="B44" s="2350"/>
      <c r="C44" s="2351"/>
      <c r="D44" s="2351"/>
      <c r="E44" s="2351"/>
      <c r="F44" s="2351"/>
      <c r="G44" s="2352"/>
    </row>
    <row r="45" spans="2:7" ht="16" thickBot="1">
      <c r="B45" s="2353" t="s">
        <v>689</v>
      </c>
      <c r="C45" s="2354"/>
      <c r="D45" s="2355"/>
      <c r="E45" s="2356">
        <f>E43-F43</f>
        <v>80100</v>
      </c>
      <c r="F45" s="2357"/>
      <c r="G45" s="2358"/>
    </row>
    <row r="46" spans="2:7" s="578" customFormat="1" ht="11.5">
      <c r="B46" s="2343" t="s">
        <v>690</v>
      </c>
      <c r="C46" s="2343"/>
      <c r="D46" s="576"/>
      <c r="E46" s="577" t="s">
        <v>121</v>
      </c>
      <c r="F46" s="2344" t="str">
        <f>'0F Lj'!D80</f>
        <v xml:space="preserve"> Sistema ByDesigner Desenvolvido Neri (21) 97014-2420</v>
      </c>
      <c r="G46" s="2344"/>
    </row>
    <row r="48" spans="2:7" ht="15.5">
      <c r="B48" s="579"/>
      <c r="C48" s="579"/>
      <c r="D48" s="580"/>
      <c r="E48" s="579"/>
      <c r="F48" s="579"/>
      <c r="G48" s="579"/>
    </row>
    <row r="49" spans="2:7" ht="15.5">
      <c r="B49" s="581"/>
      <c r="C49" s="581"/>
      <c r="D49" s="580"/>
      <c r="E49" s="581"/>
      <c r="F49" s="581"/>
      <c r="G49" s="581"/>
    </row>
    <row r="50" spans="2:7" ht="15.5">
      <c r="B50" s="581"/>
      <c r="C50" s="581"/>
      <c r="D50" s="580"/>
      <c r="E50" s="581"/>
      <c r="F50" s="581"/>
      <c r="G50" s="581"/>
    </row>
  </sheetData>
  <sheetProtection algorithmName="SHA-512" hashValue="QmW1hxTvFfu9p5zS+q8opot0SCU0HXhnRHO6+46gwk5QeQLTmOfT3/yRsKK18h8Ia1UcoJkXkMkVimTI+OJwmQ==" saltValue="sgMA7XEUtywSHoIOvOGMag==" spinCount="100000" sheet="1" objects="1" scenarios="1"/>
  <mergeCells count="38">
    <mergeCell ref="B2:D2"/>
    <mergeCell ref="E2:G2"/>
    <mergeCell ref="B3:C3"/>
    <mergeCell ref="B4:G4"/>
    <mergeCell ref="B6:D6"/>
    <mergeCell ref="E6:F6"/>
    <mergeCell ref="C19:D19"/>
    <mergeCell ref="C8:D8"/>
    <mergeCell ref="C9:D9"/>
    <mergeCell ref="C10:D10"/>
    <mergeCell ref="C11:D11"/>
    <mergeCell ref="C12:D12"/>
    <mergeCell ref="C13:D13"/>
    <mergeCell ref="C14:D14"/>
    <mergeCell ref="C15:D15"/>
    <mergeCell ref="C16:D16"/>
    <mergeCell ref="C17:D17"/>
    <mergeCell ref="C18:D18"/>
    <mergeCell ref="C31:D31"/>
    <mergeCell ref="C20:D20"/>
    <mergeCell ref="C21:D21"/>
    <mergeCell ref="C22:D22"/>
    <mergeCell ref="C23:D23"/>
    <mergeCell ref="C24:D24"/>
    <mergeCell ref="C25:D25"/>
    <mergeCell ref="C26:D26"/>
    <mergeCell ref="C27:D27"/>
    <mergeCell ref="C28:D28"/>
    <mergeCell ref="C29:D29"/>
    <mergeCell ref="C30:D30"/>
    <mergeCell ref="B46:C46"/>
    <mergeCell ref="F46:G46"/>
    <mergeCell ref="C32:D32"/>
    <mergeCell ref="C33:G33"/>
    <mergeCell ref="B43:D43"/>
    <mergeCell ref="B44:G44"/>
    <mergeCell ref="B45:D45"/>
    <mergeCell ref="E45:G45"/>
  </mergeCells>
  <pageMargins left="0.51181102362204722" right="0.51181102362204722"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3">
    <tabColor rgb="FFFF0000"/>
    <pageSetUpPr fitToPage="1"/>
  </sheetPr>
  <dimension ref="B1:R64"/>
  <sheetViews>
    <sheetView showGridLines="0" zoomScale="120" zoomScaleNormal="120" workbookViewId="0">
      <selection activeCell="D12" sqref="D12:I12"/>
    </sheetView>
  </sheetViews>
  <sheetFormatPr defaultColWidth="9.1796875" defaultRowHeight="12.5"/>
  <cols>
    <col min="1" max="1" width="1.26953125" style="3" customWidth="1"/>
    <col min="2" max="2" width="6.1796875" style="3" customWidth="1"/>
    <col min="3" max="3" width="6" style="3" customWidth="1"/>
    <col min="4" max="4" width="10.54296875" style="3" customWidth="1"/>
    <col min="5" max="5" width="8.1796875" style="3" customWidth="1"/>
    <col min="6" max="6" width="8.26953125" style="3" customWidth="1"/>
    <col min="7" max="7" width="10.81640625" style="3" customWidth="1"/>
    <col min="8" max="8" width="11" style="3" customWidth="1"/>
    <col min="9" max="9" width="8.7265625" style="3" customWidth="1"/>
    <col min="10" max="11" width="10.54296875" style="3" customWidth="1"/>
    <col min="12" max="12" width="14.453125" style="3" customWidth="1"/>
    <col min="13" max="14" width="9.1796875" style="3"/>
    <col min="15" max="15" width="12.26953125" style="3" bestFit="1" customWidth="1"/>
    <col min="16" max="18" width="9.1796875" style="3"/>
    <col min="19" max="19" width="10.1796875" style="3" bestFit="1" customWidth="1"/>
    <col min="20" max="16384" width="9.1796875" style="3"/>
  </cols>
  <sheetData>
    <row r="1" spans="2:15" ht="6.75" customHeight="1" thickBot="1"/>
    <row r="2" spans="2:15" ht="16" thickBot="1">
      <c r="B2" s="1394" t="s">
        <v>123</v>
      </c>
      <c r="C2" s="1395"/>
      <c r="D2" s="1395"/>
      <c r="E2" s="1396"/>
      <c r="F2" s="1396"/>
      <c r="G2" s="1396"/>
      <c r="H2" s="1396"/>
      <c r="I2" s="1396"/>
      <c r="J2" s="1396"/>
      <c r="K2" s="1388" t="str">
        <f>'0F Lj'!F2</f>
        <v>Versão nº 22/07/2025</v>
      </c>
      <c r="L2" s="1389"/>
    </row>
    <row r="3" spans="2:15" ht="13">
      <c r="B3" s="1397" t="s">
        <v>124</v>
      </c>
      <c r="C3" s="1398"/>
      <c r="D3" s="1399"/>
      <c r="E3" s="1400" t="str">
        <f>'0F Lj'!D12</f>
        <v>Razão Social da Loja</v>
      </c>
      <c r="F3" s="1401"/>
      <c r="G3" s="1401"/>
      <c r="H3" s="1401"/>
      <c r="I3" s="1401"/>
      <c r="J3" s="1402"/>
      <c r="K3" s="1390"/>
      <c r="L3" s="1391"/>
    </row>
    <row r="4" spans="2:15" ht="13">
      <c r="B4" s="1403" t="s">
        <v>125</v>
      </c>
      <c r="C4" s="1404"/>
      <c r="D4" s="1405"/>
      <c r="E4" s="1414" t="str">
        <f>'0F Lj'!D13</f>
        <v>Nome Fantasia Loja</v>
      </c>
      <c r="F4" s="1415"/>
      <c r="G4" s="1415"/>
      <c r="H4" s="1415"/>
      <c r="I4" s="1415"/>
      <c r="J4" s="1416"/>
      <c r="K4" s="1412" t="s">
        <v>126</v>
      </c>
      <c r="L4" s="1413"/>
      <c r="N4" s="9"/>
    </row>
    <row r="5" spans="2:15">
      <c r="B5" s="1421" t="s">
        <v>127</v>
      </c>
      <c r="C5" s="1404"/>
      <c r="D5" s="1405"/>
      <c r="E5" s="1410" t="str">
        <f>'0F Lj'!D19</f>
        <v>CNPJ da Loja</v>
      </c>
      <c r="F5" s="1411"/>
      <c r="G5" s="1411"/>
      <c r="H5" s="1417" t="str">
        <f>IF('0F Lj'!F19&lt;&gt;"",'0F Lj'!F19,"")</f>
        <v>Inscrição da loja</v>
      </c>
      <c r="I5" s="1417"/>
      <c r="J5" s="1418"/>
      <c r="K5" s="1392" t="s">
        <v>894</v>
      </c>
      <c r="L5" s="1393"/>
    </row>
    <row r="6" spans="2:15" ht="13">
      <c r="B6" s="1403" t="s">
        <v>128</v>
      </c>
      <c r="C6" s="1404"/>
      <c r="D6" s="1405"/>
      <c r="E6" s="1414" t="str">
        <f>'0F Lj'!D16</f>
        <v>Endereço da Loja</v>
      </c>
      <c r="F6" s="1415"/>
      <c r="G6" s="1415"/>
      <c r="H6" s="1415"/>
      <c r="I6" s="1415"/>
      <c r="J6" s="1416"/>
      <c r="K6" s="1406" t="s">
        <v>129</v>
      </c>
      <c r="L6" s="1407"/>
    </row>
    <row r="7" spans="2:15" ht="14">
      <c r="B7" s="1421" t="s">
        <v>130</v>
      </c>
      <c r="C7" s="1404"/>
      <c r="D7" s="1405"/>
      <c r="E7" s="1421" t="str">
        <f>'0F Lj'!D17</f>
        <v>Bairro da loja</v>
      </c>
      <c r="F7" s="1422"/>
      <c r="G7" s="1422"/>
      <c r="H7" s="1422" t="str">
        <f>'0F Lj'!F21</f>
        <v>Fone</v>
      </c>
      <c r="I7" s="1422"/>
      <c r="J7" s="1423"/>
      <c r="K7" s="1419">
        <f ca="1">TODAY()</f>
        <v>46153</v>
      </c>
      <c r="L7" s="1420"/>
    </row>
    <row r="8" spans="2:15">
      <c r="B8" s="1403" t="s">
        <v>131</v>
      </c>
      <c r="C8" s="1404"/>
      <c r="D8" s="1405"/>
      <c r="E8" s="1421" t="str">
        <f>'0F Lj'!D23</f>
        <v>E-mail da Loja</v>
      </c>
      <c r="F8" s="1422"/>
      <c r="G8" s="1422"/>
      <c r="H8" s="1422"/>
      <c r="I8" s="1422"/>
      <c r="J8" s="1423"/>
      <c r="K8" s="383" t="s">
        <v>18</v>
      </c>
      <c r="L8" s="383">
        <v>1</v>
      </c>
    </row>
    <row r="9" spans="2:15" ht="15" thickBot="1">
      <c r="B9" s="1424" t="s">
        <v>949</v>
      </c>
      <c r="C9" s="1425"/>
      <c r="D9" s="1426"/>
      <c r="E9" s="1375" t="str">
        <f>'3Orçto'!B1</f>
        <v>Vendedor(a) Projetista : Vendedor 1</v>
      </c>
      <c r="F9" s="1376"/>
      <c r="G9" s="1376"/>
      <c r="H9" s="1376"/>
      <c r="I9" s="1376"/>
      <c r="J9" s="1377"/>
      <c r="K9" s="1408" t="str">
        <f>'0F Lj'!F15</f>
        <v>Local da loja</v>
      </c>
      <c r="L9" s="1409"/>
    </row>
    <row r="10" spans="2:15">
      <c r="B10" s="378"/>
      <c r="C10" s="21"/>
      <c r="D10" s="21"/>
      <c r="E10" s="296"/>
      <c r="F10" s="296"/>
      <c r="G10" s="296"/>
      <c r="H10" s="296"/>
      <c r="I10" s="296"/>
      <c r="J10" s="296"/>
      <c r="K10" s="296"/>
      <c r="L10" s="297"/>
      <c r="M10" s="22"/>
    </row>
    <row r="11" spans="2:15">
      <c r="B11" s="1278" t="s">
        <v>132</v>
      </c>
      <c r="C11" s="1279"/>
      <c r="D11" s="1279"/>
      <c r="E11" s="1279"/>
      <c r="F11" s="1279"/>
      <c r="G11" s="1279"/>
      <c r="H11" s="1279"/>
      <c r="I11" s="1280"/>
      <c r="J11" s="294" t="s">
        <v>133</v>
      </c>
      <c r="K11" s="1281"/>
      <c r="L11" s="1282"/>
    </row>
    <row r="12" spans="2:15" ht="15" customHeight="1">
      <c r="B12" s="1380" t="s">
        <v>135</v>
      </c>
      <c r="C12" s="1381"/>
      <c r="D12" s="1283"/>
      <c r="E12" s="1284"/>
      <c r="F12" s="1284"/>
      <c r="G12" s="1284"/>
      <c r="H12" s="1284"/>
      <c r="I12" s="1285"/>
      <c r="J12" s="294" t="s">
        <v>136</v>
      </c>
      <c r="K12" s="1351"/>
      <c r="L12" s="1352"/>
    </row>
    <row r="13" spans="2:15">
      <c r="B13" s="1293" t="s">
        <v>3</v>
      </c>
      <c r="C13" s="1294"/>
      <c r="D13" s="1294"/>
      <c r="E13" s="1294"/>
      <c r="F13" s="1294"/>
      <c r="G13" s="1294"/>
      <c r="H13" s="1294"/>
      <c r="I13" s="1294"/>
      <c r="J13" s="1294"/>
      <c r="K13" s="1294"/>
      <c r="L13" s="1295"/>
      <c r="O13" s="23"/>
    </row>
    <row r="14" spans="2:15" ht="15" customHeight="1">
      <c r="B14" s="1288" t="s">
        <v>137</v>
      </c>
      <c r="C14" s="1289"/>
      <c r="D14" s="1290"/>
      <c r="E14" s="1291"/>
      <c r="F14" s="1292"/>
      <c r="G14" s="290" t="s">
        <v>138</v>
      </c>
      <c r="H14" s="674"/>
      <c r="I14" s="290" t="s">
        <v>139</v>
      </c>
      <c r="J14" s="327" t="s">
        <v>134</v>
      </c>
      <c r="K14" s="293" t="s">
        <v>140</v>
      </c>
      <c r="L14" s="328" t="s">
        <v>134</v>
      </c>
    </row>
    <row r="15" spans="2:15">
      <c r="B15" s="1296" t="s">
        <v>3</v>
      </c>
      <c r="C15" s="1297"/>
      <c r="D15" s="1297"/>
      <c r="E15" s="1297"/>
      <c r="F15" s="1297"/>
      <c r="G15" s="1297"/>
      <c r="H15" s="1297"/>
      <c r="I15" s="1297"/>
      <c r="J15" s="1297"/>
      <c r="K15" s="1297"/>
      <c r="L15" s="1298"/>
    </row>
    <row r="16" spans="2:15" ht="15" customHeight="1">
      <c r="B16" s="1288" t="s">
        <v>141</v>
      </c>
      <c r="C16" s="1290"/>
      <c r="D16" s="1283" t="s">
        <v>134</v>
      </c>
      <c r="E16" s="1284"/>
      <c r="F16" s="1284"/>
      <c r="G16" s="1284"/>
      <c r="H16" s="1284"/>
      <c r="I16" s="1284"/>
      <c r="J16" s="1285"/>
      <c r="K16" s="290" t="s">
        <v>142</v>
      </c>
      <c r="L16" s="888" t="s">
        <v>904</v>
      </c>
    </row>
    <row r="17" spans="2:15">
      <c r="B17" s="1311" t="s">
        <v>3</v>
      </c>
      <c r="C17" s="1312"/>
      <c r="D17" s="1312"/>
      <c r="E17" s="1312"/>
      <c r="F17" s="1312"/>
      <c r="G17" s="1312"/>
      <c r="H17" s="1312"/>
      <c r="I17" s="1312"/>
      <c r="J17" s="1312"/>
      <c r="K17" s="1312"/>
      <c r="L17" s="1313"/>
    </row>
    <row r="18" spans="2:15" ht="15" customHeight="1">
      <c r="B18" s="1288" t="s">
        <v>143</v>
      </c>
      <c r="C18" s="1290"/>
      <c r="D18" s="1283"/>
      <c r="E18" s="1284"/>
      <c r="F18" s="1285"/>
      <c r="G18" s="290" t="s">
        <v>144</v>
      </c>
      <c r="H18" s="1283" t="s">
        <v>145</v>
      </c>
      <c r="I18" s="1285"/>
      <c r="J18" s="678" t="s">
        <v>146</v>
      </c>
      <c r="K18" s="289" t="s">
        <v>65</v>
      </c>
      <c r="L18" s="335"/>
    </row>
    <row r="19" spans="2:15">
      <c r="B19" s="1299" t="s">
        <v>134</v>
      </c>
      <c r="C19" s="1300"/>
      <c r="D19" s="1300"/>
      <c r="E19" s="1300"/>
      <c r="F19" s="1300"/>
      <c r="G19" s="1300"/>
      <c r="H19" s="1300"/>
      <c r="I19" s="1300"/>
      <c r="J19" s="1300"/>
      <c r="K19" s="1300"/>
      <c r="L19" s="1301"/>
    </row>
    <row r="20" spans="2:15" ht="15" customHeight="1">
      <c r="B20" s="1288" t="s">
        <v>147</v>
      </c>
      <c r="C20" s="1290"/>
      <c r="D20" s="676" t="s">
        <v>134</v>
      </c>
      <c r="E20" s="1302" t="s">
        <v>134</v>
      </c>
      <c r="F20" s="1303"/>
      <c r="G20" s="290" t="s">
        <v>148</v>
      </c>
      <c r="H20" s="1307" t="s">
        <v>134</v>
      </c>
      <c r="I20" s="1308"/>
      <c r="J20" s="1308"/>
      <c r="K20" s="1308"/>
      <c r="L20" s="1309"/>
    </row>
    <row r="21" spans="2:15">
      <c r="B21" s="1304" t="s">
        <v>3</v>
      </c>
      <c r="C21" s="1305"/>
      <c r="D21" s="1305"/>
      <c r="E21" s="1305"/>
      <c r="F21" s="1305"/>
      <c r="G21" s="1305"/>
      <c r="H21" s="1305"/>
      <c r="I21" s="1305"/>
      <c r="J21" s="1305"/>
      <c r="K21" s="1305"/>
      <c r="L21" s="1306"/>
    </row>
    <row r="22" spans="2:15" ht="15" customHeight="1">
      <c r="B22" s="1286" t="s">
        <v>149</v>
      </c>
      <c r="C22" s="1287"/>
      <c r="D22" s="1284" t="s">
        <v>150</v>
      </c>
      <c r="E22" s="1284"/>
      <c r="F22" s="1284"/>
      <c r="G22" s="1284"/>
      <c r="H22" s="1284"/>
      <c r="I22" s="1284"/>
      <c r="J22" s="1285"/>
      <c r="K22" s="298" t="s">
        <v>151</v>
      </c>
      <c r="L22" s="328" t="str">
        <f>'0F Lj'!G29</f>
        <v>até 40 dias úteis</v>
      </c>
    </row>
    <row r="23" spans="2:15">
      <c r="B23" s="1304" t="s">
        <v>3</v>
      </c>
      <c r="C23" s="1305"/>
      <c r="D23" s="1305"/>
      <c r="E23" s="1305"/>
      <c r="F23" s="1305"/>
      <c r="G23" s="1305"/>
      <c r="H23" s="1305"/>
      <c r="I23" s="1305"/>
      <c r="J23" s="1305"/>
      <c r="K23" s="1305"/>
      <c r="L23" s="1306"/>
    </row>
    <row r="24" spans="2:15" ht="15" customHeight="1">
      <c r="B24" s="1288" t="s">
        <v>143</v>
      </c>
      <c r="C24" s="1290"/>
      <c r="D24" s="1283" t="s">
        <v>134</v>
      </c>
      <c r="E24" s="1284"/>
      <c r="F24" s="1285"/>
      <c r="G24" s="290" t="s">
        <v>144</v>
      </c>
      <c r="H24" s="1283" t="s">
        <v>152</v>
      </c>
      <c r="I24" s="1285"/>
      <c r="J24" s="678" t="s">
        <v>24</v>
      </c>
      <c r="K24" s="289" t="s">
        <v>65</v>
      </c>
      <c r="L24" s="335"/>
    </row>
    <row r="25" spans="2:15" ht="13" thickBot="1">
      <c r="B25" s="1353" t="s">
        <v>3</v>
      </c>
      <c r="C25" s="1354"/>
      <c r="D25" s="1354"/>
      <c r="E25" s="1354"/>
      <c r="F25" s="1354"/>
      <c r="G25" s="1354"/>
      <c r="H25" s="1354"/>
      <c r="I25" s="1354"/>
      <c r="J25" s="1354"/>
      <c r="K25" s="1354"/>
      <c r="L25" s="1355"/>
    </row>
    <row r="26" spans="2:15" ht="13" thickBot="1">
      <c r="B26" s="1334" t="s">
        <v>907</v>
      </c>
      <c r="C26" s="1335"/>
      <c r="D26" s="1335"/>
      <c r="E26" s="1335"/>
      <c r="F26" s="1335"/>
      <c r="G26" s="1335"/>
      <c r="H26" s="1335"/>
      <c r="I26" s="1335"/>
      <c r="J26" s="1335"/>
      <c r="K26" s="1335"/>
      <c r="L26" s="1336"/>
    </row>
    <row r="27" spans="2:15" ht="15" customHeight="1" thickBot="1">
      <c r="B27" s="42" t="s">
        <v>154</v>
      </c>
      <c r="C27" s="43" t="s">
        <v>155</v>
      </c>
      <c r="D27" s="1318" t="s">
        <v>156</v>
      </c>
      <c r="E27" s="1318"/>
      <c r="F27" s="1318"/>
      <c r="G27" s="1318"/>
      <c r="H27" s="677" t="s">
        <v>157</v>
      </c>
      <c r="I27" s="1314" t="s">
        <v>158</v>
      </c>
      <c r="J27" s="1315"/>
      <c r="K27" s="1314" t="s">
        <v>159</v>
      </c>
      <c r="L27" s="1315"/>
      <c r="O27" s="9"/>
    </row>
    <row r="28" spans="2:15">
      <c r="B28" s="46">
        <v>1</v>
      </c>
      <c r="C28" s="353">
        <v>1</v>
      </c>
      <c r="D28" s="1319" t="s">
        <v>765</v>
      </c>
      <c r="E28" s="1320"/>
      <c r="F28" s="1320"/>
      <c r="G28" s="1321"/>
      <c r="H28" s="885" t="str">
        <f>$L$22</f>
        <v>até 40 dias úteis</v>
      </c>
      <c r="I28" s="1337">
        <v>7741</v>
      </c>
      <c r="J28" s="1338"/>
      <c r="K28" s="1356">
        <f>IF(I28&gt;0,I28+(I28*$J$37)," ")</f>
        <v>5596.4090132348556</v>
      </c>
      <c r="L28" s="1357"/>
    </row>
    <row r="29" spans="2:15">
      <c r="B29" s="950">
        <v>2</v>
      </c>
      <c r="C29" s="951">
        <v>1</v>
      </c>
      <c r="D29" s="1322" t="s">
        <v>892</v>
      </c>
      <c r="E29" s="1322"/>
      <c r="F29" s="1322"/>
      <c r="G29" s="1322"/>
      <c r="H29" s="952" t="str">
        <f>$L$22</f>
        <v>até 40 dias úteis</v>
      </c>
      <c r="I29" s="1339">
        <v>15324</v>
      </c>
      <c r="J29" s="1340"/>
      <c r="K29" s="1356">
        <f t="shared" ref="K29:K33" si="0">IF(I29&gt;0,I29+(I29*$J$37)," ")</f>
        <v>11078.590843406655</v>
      </c>
      <c r="L29" s="1357"/>
    </row>
    <row r="30" spans="2:15">
      <c r="B30" s="950">
        <v>3</v>
      </c>
      <c r="C30" s="951">
        <v>1</v>
      </c>
      <c r="D30" s="1322" t="s">
        <v>890</v>
      </c>
      <c r="E30" s="1322"/>
      <c r="F30" s="1322"/>
      <c r="G30" s="1322"/>
      <c r="H30" s="952" t="str">
        <f t="shared" ref="H30:H31" si="1">$L$22</f>
        <v>até 40 dias úteis</v>
      </c>
      <c r="I30" s="1339">
        <v>82572</v>
      </c>
      <c r="J30" s="1340"/>
      <c r="K30" s="1356">
        <f t="shared" si="0"/>
        <v>59695.993416978228</v>
      </c>
      <c r="L30" s="1357"/>
    </row>
    <row r="31" spans="2:15">
      <c r="B31" s="950">
        <v>4</v>
      </c>
      <c r="C31" s="951">
        <v>1</v>
      </c>
      <c r="D31" s="1322" t="s">
        <v>891</v>
      </c>
      <c r="E31" s="1322"/>
      <c r="F31" s="1322"/>
      <c r="G31" s="1322"/>
      <c r="H31" s="952" t="str">
        <f t="shared" si="1"/>
        <v>até 40 dias úteis</v>
      </c>
      <c r="I31" s="1339">
        <v>68751</v>
      </c>
      <c r="J31" s="1340"/>
      <c r="K31" s="1356">
        <f t="shared" si="0"/>
        <v>49704.006726380248</v>
      </c>
      <c r="L31" s="1357"/>
    </row>
    <row r="32" spans="2:15">
      <c r="B32" s="950">
        <v>5</v>
      </c>
      <c r="C32" s="951" t="s">
        <v>3</v>
      </c>
      <c r="D32" s="1322" t="s">
        <v>3</v>
      </c>
      <c r="E32" s="1322"/>
      <c r="F32" s="1322"/>
      <c r="G32" s="1322"/>
      <c r="H32" s="952" t="s">
        <v>3</v>
      </c>
      <c r="I32" s="1339"/>
      <c r="J32" s="1340"/>
      <c r="K32" s="1356" t="str">
        <f t="shared" si="0"/>
        <v xml:space="preserve"> </v>
      </c>
      <c r="L32" s="1357"/>
    </row>
    <row r="33" spans="2:15" ht="13" thickBot="1">
      <c r="B33" s="953">
        <v>6</v>
      </c>
      <c r="C33" s="954" t="s">
        <v>3</v>
      </c>
      <c r="D33" s="1323" t="s">
        <v>3</v>
      </c>
      <c r="E33" s="1323"/>
      <c r="F33" s="1323"/>
      <c r="G33" s="1323"/>
      <c r="H33" s="955" t="s">
        <v>3</v>
      </c>
      <c r="I33" s="1341"/>
      <c r="J33" s="1342"/>
      <c r="K33" s="1356" t="str">
        <f t="shared" si="0"/>
        <v xml:space="preserve"> </v>
      </c>
      <c r="L33" s="1357"/>
    </row>
    <row r="34" spans="2:15">
      <c r="B34" s="1436" t="s">
        <v>160</v>
      </c>
      <c r="C34" s="1437"/>
      <c r="D34" s="118" t="s">
        <v>161</v>
      </c>
      <c r="E34" s="361" t="s">
        <v>162</v>
      </c>
      <c r="F34" s="44" t="s">
        <v>163</v>
      </c>
      <c r="G34" s="118" t="s">
        <v>164</v>
      </c>
      <c r="H34" s="45" t="s">
        <v>165</v>
      </c>
      <c r="I34" s="1316">
        <f>SUM(I28:J33)</f>
        <v>174388</v>
      </c>
      <c r="J34" s="1317"/>
      <c r="K34" s="1430">
        <f>SUM(K28:L33)</f>
        <v>126074.99999999999</v>
      </c>
      <c r="L34" s="1431"/>
    </row>
    <row r="35" spans="2:15" ht="13" thickBot="1">
      <c r="B35" s="1434">
        <f>'[4]3Orçto'!I8</f>
        <v>0</v>
      </c>
      <c r="C35" s="1435"/>
      <c r="D35" s="940" t="str">
        <f>'[4]3Orçto'!L8</f>
        <v xml:space="preserve">(0) 1+14=15 X </v>
      </c>
      <c r="E35" s="941">
        <f>'[4]3Orçto'!N8</f>
        <v>15</v>
      </c>
      <c r="F35" s="956">
        <f>'[4]3Orçto'!P8</f>
        <v>8405</v>
      </c>
      <c r="G35" s="957">
        <f>E35*F35+B35</f>
        <v>126075</v>
      </c>
      <c r="H35" s="41">
        <f>SUM(C28:C33)</f>
        <v>4</v>
      </c>
      <c r="I35" s="1432">
        <f>K36-I34</f>
        <v>0</v>
      </c>
      <c r="J35" s="1438"/>
      <c r="K35" s="1432">
        <f>G35-K34</f>
        <v>0</v>
      </c>
      <c r="L35" s="1433"/>
      <c r="O35" s="48"/>
    </row>
    <row r="36" spans="2:15" ht="16" thickBot="1">
      <c r="B36" s="362" t="s">
        <v>166</v>
      </c>
      <c r="C36" s="1362" t="str">
        <f>IF(I35&lt;&gt;0,"Valor Bruto dos pedidos esta divergente! "," ")</f>
        <v xml:space="preserve"> </v>
      </c>
      <c r="D36" s="1363"/>
      <c r="E36" s="1363"/>
      <c r="F36" s="1363"/>
      <c r="G36" s="1364"/>
      <c r="H36" s="1441" t="s">
        <v>167</v>
      </c>
      <c r="I36" s="1442"/>
      <c r="J36" s="870">
        <v>1</v>
      </c>
      <c r="K36" s="1445">
        <v>174388</v>
      </c>
      <c r="L36" s="1446"/>
    </row>
    <row r="37" spans="2:15" ht="16" thickBot="1">
      <c r="B37" s="1362" t="str">
        <f>IF(K35&lt;&gt;0,"Valor com Desconto esta com divergente!","")</f>
        <v/>
      </c>
      <c r="C37" s="1363"/>
      <c r="D37" s="1363"/>
      <c r="E37" s="1363"/>
      <c r="F37" s="1363"/>
      <c r="G37" s="1364"/>
      <c r="H37" s="1366" t="s">
        <v>168</v>
      </c>
      <c r="I37" s="1367"/>
      <c r="J37" s="938">
        <f>'[4]3Orçto'!Q8</f>
        <v>-0.2770431451705393</v>
      </c>
      <c r="K37" s="1360">
        <f>ROUNDUP(SUM(K36*J37),)</f>
        <v>-48313</v>
      </c>
      <c r="L37" s="1361"/>
      <c r="M37" s="938"/>
      <c r="O37" s="27"/>
    </row>
    <row r="38" spans="2:15" ht="16" thickBot="1">
      <c r="B38" s="1362" t="str">
        <f>IF(K38&lt;&gt;G35,"Total Final do Pedido esta Errado!","")</f>
        <v/>
      </c>
      <c r="C38" s="1363"/>
      <c r="D38" s="1363"/>
      <c r="E38" s="1363"/>
      <c r="F38" s="1363"/>
      <c r="G38" s="1364"/>
      <c r="H38" s="1373" t="s">
        <v>169</v>
      </c>
      <c r="I38" s="1374"/>
      <c r="J38" s="949">
        <f>J36+J37</f>
        <v>0.7229568548294607</v>
      </c>
      <c r="K38" s="1439">
        <f>K36+K37</f>
        <v>126075</v>
      </c>
      <c r="L38" s="1440"/>
      <c r="N38" s="48"/>
      <c r="O38" s="28"/>
    </row>
    <row r="39" spans="2:15" ht="13" thickBot="1">
      <c r="B39" s="24" t="s">
        <v>154</v>
      </c>
      <c r="C39" s="1443" t="s">
        <v>170</v>
      </c>
      <c r="D39" s="1444"/>
      <c r="E39" s="1443" t="s">
        <v>171</v>
      </c>
      <c r="F39" s="1444"/>
      <c r="G39" s="1443" t="s">
        <v>172</v>
      </c>
      <c r="H39" s="1444"/>
      <c r="I39" s="1443" t="s">
        <v>173</v>
      </c>
      <c r="J39" s="1444"/>
      <c r="K39" s="1443" t="s">
        <v>174</v>
      </c>
      <c r="L39" s="1336"/>
    </row>
    <row r="40" spans="2:15">
      <c r="B40" s="25">
        <v>1</v>
      </c>
      <c r="C40" s="1378" t="s">
        <v>134</v>
      </c>
      <c r="D40" s="1379"/>
      <c r="E40" s="1329" t="s">
        <v>134</v>
      </c>
      <c r="F40" s="1330"/>
      <c r="G40" s="1329" t="s">
        <v>134</v>
      </c>
      <c r="H40" s="1330"/>
      <c r="I40" s="1329" t="s">
        <v>134</v>
      </c>
      <c r="J40" s="1330"/>
      <c r="K40" s="1351" t="s">
        <v>175</v>
      </c>
      <c r="L40" s="1352"/>
    </row>
    <row r="41" spans="2:15">
      <c r="B41" s="26">
        <v>2</v>
      </c>
      <c r="C41" s="1349" t="s">
        <v>134</v>
      </c>
      <c r="D41" s="1365"/>
      <c r="E41" s="1329" t="s">
        <v>134</v>
      </c>
      <c r="F41" s="1330"/>
      <c r="G41" s="1329" t="s">
        <v>134</v>
      </c>
      <c r="H41" s="1330"/>
      <c r="I41" s="1329" t="s">
        <v>134</v>
      </c>
      <c r="J41" s="1330"/>
      <c r="K41" s="1329"/>
      <c r="L41" s="1348"/>
    </row>
    <row r="42" spans="2:15">
      <c r="B42" s="26">
        <v>3</v>
      </c>
      <c r="C42" s="1349" t="s">
        <v>134</v>
      </c>
      <c r="D42" s="1365"/>
      <c r="E42" s="1329" t="s">
        <v>134</v>
      </c>
      <c r="F42" s="1330"/>
      <c r="G42" s="1329" t="s">
        <v>134</v>
      </c>
      <c r="H42" s="1330"/>
      <c r="I42" s="1329" t="s">
        <v>134</v>
      </c>
      <c r="J42" s="1330"/>
      <c r="K42" s="1329"/>
      <c r="L42" s="1348"/>
    </row>
    <row r="43" spans="2:15">
      <c r="B43" s="26">
        <v>4</v>
      </c>
      <c r="C43" s="1349"/>
      <c r="D43" s="1365"/>
      <c r="E43" s="1329"/>
      <c r="F43" s="1330"/>
      <c r="G43" s="1329"/>
      <c r="H43" s="1330"/>
      <c r="I43" s="1329"/>
      <c r="J43" s="1330"/>
      <c r="K43" s="1329"/>
      <c r="L43" s="1348"/>
    </row>
    <row r="44" spans="2:15">
      <c r="B44" s="26">
        <v>5</v>
      </c>
      <c r="C44" s="1349"/>
      <c r="D44" s="1365"/>
      <c r="E44" s="1349"/>
      <c r="F44" s="1365"/>
      <c r="G44" s="1349"/>
      <c r="H44" s="1365"/>
      <c r="I44" s="1349"/>
      <c r="J44" s="1365"/>
      <c r="K44" s="1349"/>
      <c r="L44" s="1350"/>
    </row>
    <row r="45" spans="2:15" ht="13" thickBot="1">
      <c r="B45" s="47">
        <v>6</v>
      </c>
      <c r="C45" s="1327"/>
      <c r="D45" s="1368"/>
      <c r="E45" s="1327"/>
      <c r="F45" s="1368"/>
      <c r="G45" s="1327"/>
      <c r="H45" s="1368"/>
      <c r="I45" s="1327"/>
      <c r="J45" s="1368"/>
      <c r="K45" s="1327"/>
      <c r="L45" s="1328"/>
    </row>
    <row r="46" spans="2:15" ht="13" thickBot="1">
      <c r="B46" s="1334" t="s">
        <v>176</v>
      </c>
      <c r="C46" s="1335"/>
      <c r="D46" s="1335"/>
      <c r="E46" s="1335"/>
      <c r="F46" s="1335"/>
      <c r="G46" s="1335"/>
      <c r="H46" s="1335"/>
      <c r="I46" s="1335"/>
      <c r="J46" s="1335"/>
      <c r="K46" s="1335"/>
      <c r="L46" s="1336"/>
    </row>
    <row r="47" spans="2:15">
      <c r="B47" s="25">
        <v>1</v>
      </c>
      <c r="C47" s="1324" t="str">
        <f>D28</f>
        <v>Banheiro Social</v>
      </c>
      <c r="D47" s="1325"/>
      <c r="E47" s="1325"/>
      <c r="F47" s="1326"/>
      <c r="G47" s="1386"/>
      <c r="H47" s="1386"/>
      <c r="I47" s="1386"/>
      <c r="J47" s="1386"/>
      <c r="K47" s="1386"/>
      <c r="L47" s="1387"/>
    </row>
    <row r="48" spans="2:15">
      <c r="B48" s="26">
        <v>2</v>
      </c>
      <c r="C48" s="1343" t="str">
        <f>D29</f>
        <v>Banheiro Suite</v>
      </c>
      <c r="D48" s="1344"/>
      <c r="E48" s="1344"/>
      <c r="F48" s="1345"/>
      <c r="G48" s="1358"/>
      <c r="H48" s="1358"/>
      <c r="I48" s="1358"/>
      <c r="J48" s="1358"/>
      <c r="K48" s="1358"/>
      <c r="L48" s="1359"/>
    </row>
    <row r="49" spans="2:18">
      <c r="B49" s="26">
        <v>3</v>
      </c>
      <c r="C49" s="1343" t="str">
        <f t="shared" ref="C49:C52" si="2">D30</f>
        <v>Cozinha e Lavanderia</v>
      </c>
      <c r="D49" s="1344"/>
      <c r="E49" s="1344"/>
      <c r="F49" s="1345"/>
      <c r="G49" s="1358"/>
      <c r="H49" s="1358"/>
      <c r="I49" s="1358"/>
      <c r="J49" s="1358"/>
      <c r="K49" s="1358"/>
      <c r="L49" s="1359"/>
    </row>
    <row r="50" spans="2:18">
      <c r="B50" s="26">
        <v>4</v>
      </c>
      <c r="C50" s="1343" t="str">
        <f t="shared" si="2"/>
        <v>Sala com Estante Metalon</v>
      </c>
      <c r="D50" s="1344"/>
      <c r="E50" s="1344"/>
      <c r="F50" s="1345"/>
      <c r="G50" s="1358"/>
      <c r="H50" s="1358"/>
      <c r="I50" s="1358"/>
      <c r="J50" s="1358"/>
      <c r="K50" s="1358"/>
      <c r="L50" s="1359"/>
    </row>
    <row r="51" spans="2:18">
      <c r="B51" s="26">
        <v>5</v>
      </c>
      <c r="C51" s="1343" t="str">
        <f t="shared" si="2"/>
        <v xml:space="preserve">  </v>
      </c>
      <c r="D51" s="1344"/>
      <c r="E51" s="1344"/>
      <c r="F51" s="1345"/>
      <c r="G51" s="1358"/>
      <c r="H51" s="1358"/>
      <c r="I51" s="1358"/>
      <c r="J51" s="1358"/>
      <c r="K51" s="1358"/>
      <c r="L51" s="1359"/>
    </row>
    <row r="52" spans="2:18" ht="13" thickBot="1">
      <c r="B52" s="729">
        <v>6</v>
      </c>
      <c r="C52" s="1343" t="str">
        <f t="shared" si="2"/>
        <v xml:space="preserve">  </v>
      </c>
      <c r="D52" s="1344"/>
      <c r="E52" s="1344"/>
      <c r="F52" s="1345"/>
      <c r="G52" s="1346"/>
      <c r="H52" s="1346"/>
      <c r="I52" s="1346"/>
      <c r="J52" s="1346"/>
      <c r="K52" s="1346"/>
      <c r="L52" s="1347"/>
    </row>
    <row r="53" spans="2:18" ht="13" thickBot="1">
      <c r="B53" s="1334" t="s">
        <v>177</v>
      </c>
      <c r="C53" s="1335"/>
      <c r="D53" s="1335"/>
      <c r="E53" s="1335"/>
      <c r="F53" s="1335"/>
      <c r="G53" s="1335"/>
      <c r="H53" s="1335"/>
      <c r="I53" s="1335"/>
      <c r="J53" s="1335"/>
      <c r="K53" s="1335"/>
      <c r="L53" s="1336"/>
      <c r="R53" s="9"/>
    </row>
    <row r="54" spans="2:18">
      <c r="B54" s="25">
        <v>1</v>
      </c>
      <c r="C54" s="1370"/>
      <c r="D54" s="1371"/>
      <c r="E54" s="1371"/>
      <c r="F54" s="1371"/>
      <c r="G54" s="1371"/>
      <c r="H54" s="1371"/>
      <c r="I54" s="1371"/>
      <c r="J54" s="1371"/>
      <c r="K54" s="1371"/>
      <c r="L54" s="1372"/>
      <c r="R54" s="29"/>
    </row>
    <row r="55" spans="2:18">
      <c r="B55" s="26">
        <v>2</v>
      </c>
      <c r="C55" s="1331"/>
      <c r="D55" s="1332"/>
      <c r="E55" s="1332"/>
      <c r="F55" s="1332"/>
      <c r="G55" s="1332"/>
      <c r="H55" s="1332"/>
      <c r="I55" s="1332"/>
      <c r="J55" s="1332"/>
      <c r="K55" s="1332"/>
      <c r="L55" s="1333"/>
    </row>
    <row r="56" spans="2:18">
      <c r="B56" s="26">
        <v>3</v>
      </c>
      <c r="C56" s="1331"/>
      <c r="D56" s="1332"/>
      <c r="E56" s="1332"/>
      <c r="F56" s="1332"/>
      <c r="G56" s="1332"/>
      <c r="H56" s="1332"/>
      <c r="I56" s="1332"/>
      <c r="J56" s="1332"/>
      <c r="K56" s="1332"/>
      <c r="L56" s="1333"/>
    </row>
    <row r="57" spans="2:18">
      <c r="B57" s="26">
        <v>4</v>
      </c>
      <c r="C57" s="1331"/>
      <c r="D57" s="1332"/>
      <c r="E57" s="1332"/>
      <c r="F57" s="1332"/>
      <c r="G57" s="1332"/>
      <c r="H57" s="1332"/>
      <c r="I57" s="1332"/>
      <c r="J57" s="1332"/>
      <c r="K57" s="1332"/>
      <c r="L57" s="1333"/>
    </row>
    <row r="58" spans="2:18">
      <c r="B58" s="26">
        <v>5</v>
      </c>
      <c r="C58" s="1331"/>
      <c r="D58" s="1332"/>
      <c r="E58" s="1332"/>
      <c r="F58" s="1332"/>
      <c r="G58" s="1332"/>
      <c r="H58" s="1332"/>
      <c r="I58" s="1332"/>
      <c r="J58" s="1332"/>
      <c r="K58" s="1332"/>
      <c r="L58" s="1333"/>
    </row>
    <row r="59" spans="2:18" ht="13" thickBot="1">
      <c r="B59" s="307">
        <v>6</v>
      </c>
      <c r="C59" s="1427"/>
      <c r="D59" s="1428"/>
      <c r="E59" s="1428"/>
      <c r="F59" s="1428"/>
      <c r="G59" s="1428"/>
      <c r="H59" s="1428"/>
      <c r="I59" s="1428"/>
      <c r="J59" s="1428"/>
      <c r="K59" s="1428"/>
      <c r="L59" s="1429"/>
    </row>
    <row r="60" spans="2:18" ht="12" customHeight="1">
      <c r="B60" s="30"/>
      <c r="L60" s="31"/>
    </row>
    <row r="61" spans="2:18" ht="12" customHeight="1">
      <c r="B61" s="30"/>
      <c r="L61" s="31"/>
    </row>
    <row r="62" spans="2:18">
      <c r="B62" s="32"/>
      <c r="C62" s="33"/>
      <c r="D62" s="33"/>
      <c r="E62" s="33"/>
      <c r="F62" s="33"/>
      <c r="H62" s="33"/>
      <c r="I62" s="33"/>
      <c r="J62" s="33"/>
      <c r="K62" s="33"/>
      <c r="L62" s="34"/>
    </row>
    <row r="63" spans="2:18" ht="13" thickBot="1">
      <c r="B63" s="1382" t="s">
        <v>178</v>
      </c>
      <c r="C63" s="1383"/>
      <c r="D63" s="35" t="str">
        <f>E3</f>
        <v>Razão Social da Loja</v>
      </c>
      <c r="E63" s="35"/>
      <c r="F63" s="35"/>
      <c r="G63" s="382"/>
      <c r="H63" s="36" t="s">
        <v>179</v>
      </c>
      <c r="I63" s="1384" t="str">
        <f>IF('1FComprador'!D12&lt;&gt;"",'1FComprador'!D12,"")</f>
        <v/>
      </c>
      <c r="J63" s="1384"/>
      <c r="K63" s="1384"/>
      <c r="L63" s="1385"/>
    </row>
    <row r="64" spans="2:18" s="21" customFormat="1" ht="12.75" customHeight="1">
      <c r="B64" s="1369" t="s">
        <v>180</v>
      </c>
      <c r="C64" s="1369"/>
      <c r="D64" s="1369"/>
      <c r="E64" s="37"/>
      <c r="F64" s="37"/>
      <c r="G64" s="38" t="s">
        <v>121</v>
      </c>
      <c r="H64" s="1310" t="str">
        <f>'0F Lj'!D80</f>
        <v xml:space="preserve"> Sistema ByDesigner Desenvolvido Neri (21) 97014-2420</v>
      </c>
      <c r="I64" s="1310"/>
      <c r="J64" s="1310"/>
      <c r="K64" s="1310"/>
      <c r="L64" s="1310"/>
    </row>
  </sheetData>
  <sheetProtection algorithmName="SHA-512" hashValue="46a9ZMolDJ8xPvPqpq219TFW6FV07nWe1FkJ5Z1IHEnBwvz+OBSJCjq3Ggr37b6wi82txwft27jEGUmoNFvwtg==" saltValue="Mj/TKfDXLboe9qsU7DNAKw==" spinCount="100000" sheet="1" formatCells="0"/>
  <mergeCells count="147">
    <mergeCell ref="C59:L59"/>
    <mergeCell ref="C58:L58"/>
    <mergeCell ref="C55:L55"/>
    <mergeCell ref="K34:L34"/>
    <mergeCell ref="K35:L35"/>
    <mergeCell ref="C49:F49"/>
    <mergeCell ref="G49:L49"/>
    <mergeCell ref="C50:F50"/>
    <mergeCell ref="G50:L50"/>
    <mergeCell ref="C51:F51"/>
    <mergeCell ref="G51:L51"/>
    <mergeCell ref="B35:C35"/>
    <mergeCell ref="B34:C34"/>
    <mergeCell ref="I35:J35"/>
    <mergeCell ref="K38:L38"/>
    <mergeCell ref="H36:I36"/>
    <mergeCell ref="C39:D39"/>
    <mergeCell ref="E39:F39"/>
    <mergeCell ref="G39:H39"/>
    <mergeCell ref="I39:J39"/>
    <mergeCell ref="K39:L39"/>
    <mergeCell ref="G42:H42"/>
    <mergeCell ref="K36:L36"/>
    <mergeCell ref="K42:L42"/>
    <mergeCell ref="K2:L2"/>
    <mergeCell ref="K3:L3"/>
    <mergeCell ref="K5:L5"/>
    <mergeCell ref="B2:J2"/>
    <mergeCell ref="B3:D3"/>
    <mergeCell ref="E3:J3"/>
    <mergeCell ref="B4:D4"/>
    <mergeCell ref="K6:L6"/>
    <mergeCell ref="K9:L9"/>
    <mergeCell ref="E5:G5"/>
    <mergeCell ref="K4:L4"/>
    <mergeCell ref="E4:J4"/>
    <mergeCell ref="H5:J5"/>
    <mergeCell ref="K7:L7"/>
    <mergeCell ref="B5:D5"/>
    <mergeCell ref="E8:J8"/>
    <mergeCell ref="B7:D7"/>
    <mergeCell ref="E7:G7"/>
    <mergeCell ref="H7:J7"/>
    <mergeCell ref="B8:D8"/>
    <mergeCell ref="B6:D6"/>
    <mergeCell ref="E6:J6"/>
    <mergeCell ref="B9:D9"/>
    <mergeCell ref="B64:D64"/>
    <mergeCell ref="K27:L27"/>
    <mergeCell ref="E41:F41"/>
    <mergeCell ref="G41:H41"/>
    <mergeCell ref="K28:L28"/>
    <mergeCell ref="G40:H40"/>
    <mergeCell ref="C54:L54"/>
    <mergeCell ref="H38:I38"/>
    <mergeCell ref="E9:J9"/>
    <mergeCell ref="C40:D40"/>
    <mergeCell ref="C36:G36"/>
    <mergeCell ref="B12:C12"/>
    <mergeCell ref="K12:L12"/>
    <mergeCell ref="C41:D41"/>
    <mergeCell ref="C42:D42"/>
    <mergeCell ref="C43:D43"/>
    <mergeCell ref="I42:J42"/>
    <mergeCell ref="I43:J43"/>
    <mergeCell ref="E43:F43"/>
    <mergeCell ref="G43:H43"/>
    <mergeCell ref="I44:J44"/>
    <mergeCell ref="B63:C63"/>
    <mergeCell ref="I63:L63"/>
    <mergeCell ref="G47:L47"/>
    <mergeCell ref="E44:F44"/>
    <mergeCell ref="G44:H44"/>
    <mergeCell ref="H37:I37"/>
    <mergeCell ref="C45:D45"/>
    <mergeCell ref="E45:F45"/>
    <mergeCell ref="G45:H45"/>
    <mergeCell ref="I45:J45"/>
    <mergeCell ref="E40:F40"/>
    <mergeCell ref="C44:D44"/>
    <mergeCell ref="C52:F52"/>
    <mergeCell ref="G52:L52"/>
    <mergeCell ref="K43:L43"/>
    <mergeCell ref="K44:L44"/>
    <mergeCell ref="K40:L40"/>
    <mergeCell ref="K41:L41"/>
    <mergeCell ref="B23:L23"/>
    <mergeCell ref="B24:C24"/>
    <mergeCell ref="D24:F24"/>
    <mergeCell ref="H24:I24"/>
    <mergeCell ref="B26:L26"/>
    <mergeCell ref="B25:L25"/>
    <mergeCell ref="K29:L29"/>
    <mergeCell ref="K30:L30"/>
    <mergeCell ref="K31:L31"/>
    <mergeCell ref="K33:L33"/>
    <mergeCell ref="K32:L32"/>
    <mergeCell ref="C48:F48"/>
    <mergeCell ref="G48:L48"/>
    <mergeCell ref="K37:L37"/>
    <mergeCell ref="B37:G37"/>
    <mergeCell ref="B38:G38"/>
    <mergeCell ref="I41:J41"/>
    <mergeCell ref="B46:L46"/>
    <mergeCell ref="H64:L64"/>
    <mergeCell ref="B17:L17"/>
    <mergeCell ref="I27:J27"/>
    <mergeCell ref="I34:J34"/>
    <mergeCell ref="D27:G27"/>
    <mergeCell ref="D28:G28"/>
    <mergeCell ref="D29:G29"/>
    <mergeCell ref="D30:G30"/>
    <mergeCell ref="D31:G31"/>
    <mergeCell ref="D32:G32"/>
    <mergeCell ref="D33:G33"/>
    <mergeCell ref="C47:F47"/>
    <mergeCell ref="K45:L45"/>
    <mergeCell ref="I40:J40"/>
    <mergeCell ref="C56:L56"/>
    <mergeCell ref="C57:L57"/>
    <mergeCell ref="B53:L53"/>
    <mergeCell ref="E42:F42"/>
    <mergeCell ref="I28:J28"/>
    <mergeCell ref="I29:J29"/>
    <mergeCell ref="I30:J30"/>
    <mergeCell ref="I31:J31"/>
    <mergeCell ref="I32:J32"/>
    <mergeCell ref="I33:J33"/>
    <mergeCell ref="B11:I11"/>
    <mergeCell ref="K11:L11"/>
    <mergeCell ref="D16:J16"/>
    <mergeCell ref="B22:C22"/>
    <mergeCell ref="D22:J22"/>
    <mergeCell ref="B14:D14"/>
    <mergeCell ref="E14:F14"/>
    <mergeCell ref="B13:L13"/>
    <mergeCell ref="D12:I12"/>
    <mergeCell ref="B15:L15"/>
    <mergeCell ref="B19:L19"/>
    <mergeCell ref="E20:F20"/>
    <mergeCell ref="B20:C20"/>
    <mergeCell ref="B21:L21"/>
    <mergeCell ref="H20:L20"/>
    <mergeCell ref="B16:C16"/>
    <mergeCell ref="B18:C18"/>
    <mergeCell ref="D18:F18"/>
    <mergeCell ref="H18:I18"/>
  </mergeCells>
  <pageMargins left="0.39370078740157483" right="0.19685039370078741" top="0.39370078740157483" bottom="0.39370078740157483" header="0.31496062992125984" footer="0.31496062992125984"/>
  <pageSetup paperSize="9" scale="9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3000000}">
          <x14:formula1>
            <xm:f>'0F Lj'!$B$32:$B$37</xm:f>
          </x14:formula1>
          <xm:sqref>B9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K88"/>
  <sheetViews>
    <sheetView zoomScaleNormal="100" workbookViewId="0">
      <selection activeCell="H2" sqref="H2"/>
    </sheetView>
  </sheetViews>
  <sheetFormatPr defaultColWidth="9.1796875" defaultRowHeight="12.5"/>
  <cols>
    <col min="1" max="1" width="0.7265625" style="584" customWidth="1"/>
    <col min="2" max="2" width="1.81640625" style="584" customWidth="1"/>
    <col min="3" max="3" width="31.81640625" style="584" customWidth="1"/>
    <col min="4" max="4" width="1.26953125" style="584" customWidth="1"/>
    <col min="5" max="5" width="20.453125" style="584" customWidth="1"/>
    <col min="6" max="6" width="29.1796875" style="584" customWidth="1"/>
    <col min="7" max="7" width="1.1796875" style="584" customWidth="1"/>
    <col min="8" max="8" width="25.81640625" style="584" customWidth="1"/>
    <col min="9" max="9" width="27.7265625" style="584" customWidth="1"/>
    <col min="10" max="10" width="25" style="427" customWidth="1"/>
    <col min="11" max="11" width="1.453125" style="427" customWidth="1"/>
    <col min="12" max="16384" width="9.1796875" style="584"/>
  </cols>
  <sheetData>
    <row r="1" spans="1:11" ht="15" thickBot="1">
      <c r="A1" s="427"/>
      <c r="B1" s="427"/>
      <c r="C1" s="582"/>
      <c r="D1" s="427"/>
      <c r="E1" s="427"/>
      <c r="F1" s="583"/>
      <c r="G1" s="427"/>
      <c r="H1" s="582"/>
      <c r="I1" s="427"/>
    </row>
    <row r="2" spans="1:11" ht="24" thickBot="1">
      <c r="A2" s="427"/>
      <c r="B2" s="2414" t="s">
        <v>895</v>
      </c>
      <c r="C2" s="2415"/>
      <c r="D2" s="2424" t="str">
        <f>'0F Lj'!D3</f>
        <v xml:space="preserve"> Cód. Representação:</v>
      </c>
      <c r="E2" s="2425"/>
      <c r="F2" s="657" t="str">
        <f>'0F Lj'!B3</f>
        <v>Código Loja na Fábrica :</v>
      </c>
      <c r="G2" s="585"/>
      <c r="H2" s="586">
        <f>'14 Pers.'!H2</f>
        <v>46386</v>
      </c>
      <c r="I2" s="587" t="str">
        <f>'0F Lj'!E2</f>
        <v>SisBrasil Nº  10</v>
      </c>
      <c r="J2" s="588" t="s">
        <v>929</v>
      </c>
      <c r="K2" s="589"/>
    </row>
    <row r="3" spans="1:11" ht="14.5">
      <c r="A3" s="427"/>
      <c r="B3" s="590"/>
      <c r="C3" s="591" t="s">
        <v>691</v>
      </c>
      <c r="D3" s="592"/>
      <c r="E3" s="2416" t="str">
        <f>'0F Lj'!D13</f>
        <v>Nome Fantasia Loja</v>
      </c>
      <c r="F3" s="2417"/>
      <c r="G3" s="592"/>
      <c r="H3" s="593" t="s">
        <v>692</v>
      </c>
      <c r="I3" s="594" t="str">
        <f>'0F Lj'!D12</f>
        <v>Razão Social da Loja</v>
      </c>
      <c r="J3" s="595" t="s">
        <v>693</v>
      </c>
      <c r="K3" s="596"/>
    </row>
    <row r="4" spans="1:11" ht="14.5">
      <c r="A4" s="427"/>
      <c r="B4" s="590"/>
      <c r="C4" s="597" t="s">
        <v>694</v>
      </c>
      <c r="D4" s="598"/>
      <c r="E4" s="2418" t="str">
        <f>'0F Lj'!D16</f>
        <v>Endereço da Loja</v>
      </c>
      <c r="F4" s="2419"/>
      <c r="G4" s="598"/>
      <c r="H4" s="599" t="s">
        <v>695</v>
      </c>
      <c r="I4" s="600" t="str">
        <f>'0F Lj'!D17</f>
        <v>Bairro da loja</v>
      </c>
      <c r="J4" s="601" t="str">
        <f>'0F Lj'!D12</f>
        <v>Razão Social da Loja</v>
      </c>
      <c r="K4" s="602"/>
    </row>
    <row r="5" spans="1:11" ht="15" thickBot="1">
      <c r="A5" s="427"/>
      <c r="B5" s="590"/>
      <c r="C5" s="603" t="str">
        <f>HYPERLINK(C46&amp;E5,"CNPJ")</f>
        <v>CNPJ</v>
      </c>
      <c r="D5" s="604"/>
      <c r="E5" s="605" t="str">
        <f>'0F Lj'!D19</f>
        <v>CNPJ da Loja</v>
      </c>
      <c r="F5" s="606" t="s">
        <v>696</v>
      </c>
      <c r="G5" s="604"/>
      <c r="H5" s="607" t="str">
        <f>'0F Lj'!F19</f>
        <v>Inscrição da loja</v>
      </c>
      <c r="I5" s="2420" t="str">
        <f>'0F Lj'!D23</f>
        <v>E-mail da Loja</v>
      </c>
      <c r="J5" s="2421"/>
      <c r="K5" s="596"/>
    </row>
    <row r="6" spans="1:11" ht="15" thickBot="1">
      <c r="A6" s="427"/>
      <c r="B6" s="590"/>
      <c r="C6" s="2422" t="s">
        <v>697</v>
      </c>
      <c r="D6" s="2423"/>
      <c r="E6" s="2423"/>
      <c r="F6" s="2423"/>
      <c r="G6" s="2423"/>
      <c r="H6" s="2423"/>
      <c r="I6" s="2423"/>
      <c r="J6" s="2423"/>
      <c r="K6" s="596"/>
    </row>
    <row r="7" spans="1:11" ht="14.5">
      <c r="A7" s="427"/>
      <c r="B7" s="590"/>
      <c r="C7" s="591" t="s">
        <v>698</v>
      </c>
      <c r="D7" s="592"/>
      <c r="E7" s="2416" t="str">
        <f>'0F Lj'!D5</f>
        <v>Nome do dono loja</v>
      </c>
      <c r="F7" s="2417"/>
      <c r="G7" s="592"/>
      <c r="H7" s="608" t="str">
        <f>'0F Lj'!D6</f>
        <v>Fone 1</v>
      </c>
      <c r="I7" s="608" t="str">
        <f>'0F Lj'!F21</f>
        <v>Fone</v>
      </c>
      <c r="J7" s="608" t="str">
        <f>'0F Lj'!F24</f>
        <v>Fone</v>
      </c>
      <c r="K7" s="596"/>
    </row>
    <row r="8" spans="1:11" ht="14.5">
      <c r="A8" s="427"/>
      <c r="B8" s="590"/>
      <c r="C8" s="609" t="s">
        <v>699</v>
      </c>
      <c r="D8" s="598"/>
      <c r="E8" s="2426" t="str">
        <f>'0F Lj'!B45</f>
        <v>logisticarj@mericalog.com</v>
      </c>
      <c r="F8" s="2419"/>
      <c r="G8" s="598"/>
      <c r="H8" s="656" t="str">
        <f>'0F Lj'!C45</f>
        <v xml:space="preserve">  Mérica</v>
      </c>
      <c r="I8" s="610" t="str">
        <f>'0F Lj'!D45</f>
        <v>RS - Elton</v>
      </c>
      <c r="J8" s="611" t="str">
        <f>'0F Lj'!E45</f>
        <v>(54) 99157-1412</v>
      </c>
      <c r="K8" s="612"/>
    </row>
    <row r="9" spans="1:11" ht="15" thickBot="1">
      <c r="A9" s="427"/>
      <c r="B9" s="590"/>
      <c r="C9" s="613">
        <f>'0F Lj'!F45</f>
        <v>0.19670000000000001</v>
      </c>
      <c r="D9" s="604"/>
      <c r="E9" s="2427" t="str">
        <f>'0F Lj'!B46</f>
        <v>Rio - Guilherme (Jardim América)</v>
      </c>
      <c r="F9" s="2428"/>
      <c r="G9" s="604"/>
      <c r="H9" s="614" t="str">
        <f>'0F Lj'!C46</f>
        <v>(21) 99132-9800</v>
      </c>
      <c r="I9" s="615">
        <f>'0F Lj'!E46</f>
        <v>0</v>
      </c>
      <c r="J9" s="616">
        <f>'0F Lj'!F46</f>
        <v>0</v>
      </c>
      <c r="K9" s="612"/>
    </row>
    <row r="10" spans="1:11" ht="14.5">
      <c r="A10" s="427"/>
      <c r="B10" s="590"/>
      <c r="C10" s="651" t="str">
        <f>'0F Lj'!B58</f>
        <v>Nome loja</v>
      </c>
      <c r="D10" s="592"/>
      <c r="E10" s="2429" t="str">
        <f>'0F Lj'!C58</f>
        <v>http://bydesigner.com.br/categoria</v>
      </c>
      <c r="F10" s="2430"/>
      <c r="G10" s="592"/>
      <c r="H10" s="652" t="str">
        <f>'0F Lj'!D58</f>
        <v>fotopessoal.png</v>
      </c>
      <c r="I10" s="653" t="str">
        <f>'0F Lj'!E58</f>
        <v>tel://5521111111111</v>
      </c>
      <c r="J10" s="654" t="str">
        <f>'0F Lj'!F58</f>
        <v>telefone-empresa.png</v>
      </c>
      <c r="K10" s="596"/>
    </row>
    <row r="11" spans="1:11" ht="14.5">
      <c r="A11" s="427"/>
      <c r="B11" s="590"/>
      <c r="C11" s="617" t="str">
        <f>'0F Lj'!B59</f>
        <v>bydesigner.com.br</v>
      </c>
      <c r="D11" s="598"/>
      <c r="E11" s="2399" t="str">
        <f>'0F Lj'!C59</f>
        <v>moveisplanejados.pgn</v>
      </c>
      <c r="F11" s="2400"/>
      <c r="G11" s="598"/>
      <c r="H11" s="618" t="str">
        <f>'0F Lj'!D59</f>
        <v>intagran.png</v>
      </c>
      <c r="I11" s="619" t="str">
        <f>'0F Lj'!E59</f>
        <v>https://www.instagran.com.br</v>
      </c>
      <c r="J11" s="620" t="str">
        <f>'0F Lj'!F59</f>
        <v>facebook.png</v>
      </c>
      <c r="K11" s="612"/>
    </row>
    <row r="12" spans="1:11" ht="14.5">
      <c r="A12" s="427"/>
      <c r="B12" s="590"/>
      <c r="C12" s="617" t="str">
        <f>'0F Lj'!B60</f>
        <v>anim.gif</v>
      </c>
      <c r="D12" s="598"/>
      <c r="E12" s="2399" t="str">
        <f>'0F Lj'!C60</f>
        <v>http://bydesigner.com.br/categoria</v>
      </c>
      <c r="F12" s="2400"/>
      <c r="G12" s="598"/>
      <c r="H12" s="618" t="str">
        <f>'0F Lj'!D60</f>
        <v>cargo-gerente.png</v>
      </c>
      <c r="I12" s="619" t="str">
        <f>'0F Lj'!E60</f>
        <v>https://wa.me/5521222222222</v>
      </c>
      <c r="J12" s="620" t="str">
        <f>'0F Lj'!F60</f>
        <v>email.png</v>
      </c>
      <c r="K12" s="612"/>
    </row>
    <row r="13" spans="1:11" ht="14.5">
      <c r="A13" s="427"/>
      <c r="B13" s="590"/>
      <c r="C13" s="617" t="str">
        <f>'0F Lj'!B61</f>
        <v>fotos ou youtube</v>
      </c>
      <c r="D13" s="598"/>
      <c r="E13" s="2399" t="str">
        <f>'0F Lj'!C61</f>
        <v>garantia-5anos.png</v>
      </c>
      <c r="F13" s="2400"/>
      <c r="G13" s="598"/>
      <c r="H13" s="618" t="str">
        <f>'0F Lj'!D61</f>
        <v>website.png</v>
      </c>
      <c r="I13" s="619" t="str">
        <f>'0F Lj'!E61</f>
        <v>https://www.bydesigner.com.br</v>
      </c>
      <c r="J13" s="620" t="str">
        <f>'0F Lj'!F61</f>
        <v>localizacao.png</v>
      </c>
      <c r="K13" s="612"/>
    </row>
    <row r="14" spans="1:11" ht="14.5">
      <c r="A14" s="427"/>
      <c r="B14" s="590"/>
      <c r="C14" s="617" t="str">
        <f>'0F Lj'!B62</f>
        <v>midias.png</v>
      </c>
      <c r="D14" s="598"/>
      <c r="E14" s="2399" t="str">
        <f>'0F Lj'!C62</f>
        <v xml:space="preserve">  =rcWJrOefJG8&amp;t</v>
      </c>
      <c r="F14" s="2400"/>
      <c r="G14" s="598"/>
      <c r="H14" s="2401" t="str">
        <f>'0F Lj'!D62</f>
        <v xml:space="preserve">  https://maps.app.goo.gl/qCXBG1FyeEJATP8a6</v>
      </c>
      <c r="I14" s="2402"/>
      <c r="J14" s="2403"/>
      <c r="K14" s="596"/>
    </row>
    <row r="15" spans="1:11" ht="14.5">
      <c r="A15" s="427"/>
      <c r="B15" s="590"/>
      <c r="C15" s="617" t="str">
        <f>'0F Lj'!B63</f>
        <v>http://bydesigner.com.br/categoria</v>
      </c>
      <c r="D15" s="598"/>
      <c r="E15" s="2399" t="str">
        <f>'0F Lj'!C63</f>
        <v xml:space="preserve">  =rcWJrOefJG8</v>
      </c>
      <c r="F15" s="2400"/>
      <c r="G15" s="598"/>
      <c r="H15" s="2404" t="str">
        <f>'0F Lj'!D63</f>
        <v>Toque nos ícones acima... &lt;BR&gt; Nome  - Gerente Comercial&lt;br&gt; Email: &lt;a href="mailto:E-mail@gmail.com"&gt;e-mail@gmail.com</v>
      </c>
      <c r="I15" s="2404"/>
      <c r="J15" s="2405"/>
      <c r="K15" s="612"/>
    </row>
    <row r="16" spans="1:11" ht="15" thickBot="1">
      <c r="A16" s="427"/>
      <c r="B16" s="590"/>
      <c r="C16" s="655" t="str">
        <f>'0F Lj'!B64</f>
        <v>moveismodulados.pgn</v>
      </c>
      <c r="D16" s="604"/>
      <c r="E16" s="2408" t="str">
        <f>'0F Lj'!C64</f>
        <v xml:space="preserve">  =rcWJrOefJG8</v>
      </c>
      <c r="F16" s="2409"/>
      <c r="G16" s="604"/>
      <c r="H16" s="2406"/>
      <c r="I16" s="2406"/>
      <c r="J16" s="2407"/>
      <c r="K16" s="612"/>
    </row>
    <row r="17" spans="1:11" ht="15" thickBot="1">
      <c r="A17" s="427"/>
      <c r="B17" s="590"/>
      <c r="C17" s="621"/>
      <c r="D17" s="598"/>
      <c r="E17" s="598"/>
      <c r="F17" s="598"/>
      <c r="G17" s="598"/>
      <c r="H17" s="598"/>
      <c r="I17" s="621"/>
      <c r="J17" s="622"/>
      <c r="K17" s="596"/>
    </row>
    <row r="18" spans="1:11" ht="19" thickBot="1">
      <c r="A18" s="427"/>
      <c r="B18" s="623"/>
      <c r="C18" s="2410" t="s">
        <v>700</v>
      </c>
      <c r="D18" s="2411"/>
      <c r="E18" s="2411"/>
      <c r="F18" s="2411"/>
      <c r="G18" s="2411"/>
      <c r="H18" s="2412"/>
      <c r="I18" s="624" t="str">
        <f>'3Orçto'!K1</f>
        <v>Cartão de Visita Digital</v>
      </c>
      <c r="J18" s="625"/>
      <c r="K18" s="626"/>
    </row>
    <row r="19" spans="1:11" ht="19" thickBot="1">
      <c r="A19" s="427"/>
      <c r="B19" s="590"/>
      <c r="C19" s="2410" t="s">
        <v>701</v>
      </c>
      <c r="D19" s="2411"/>
      <c r="E19" s="2411"/>
      <c r="F19" s="2411"/>
      <c r="G19" s="2411"/>
      <c r="H19" s="2412"/>
      <c r="I19" s="624" t="s">
        <v>702</v>
      </c>
      <c r="J19" s="627"/>
      <c r="K19" s="596"/>
    </row>
    <row r="20" spans="1:11" ht="19" thickBot="1">
      <c r="A20" s="427"/>
      <c r="B20" s="590"/>
      <c r="C20" s="2410" t="s">
        <v>703</v>
      </c>
      <c r="D20" s="2411"/>
      <c r="E20" s="2411"/>
      <c r="F20" s="2411"/>
      <c r="G20" s="2411"/>
      <c r="H20" s="2412"/>
      <c r="I20" s="624" t="s">
        <v>704</v>
      </c>
      <c r="J20" s="627"/>
      <c r="K20" s="596"/>
    </row>
    <row r="21" spans="1:11" ht="19" thickBot="1">
      <c r="A21" s="427"/>
      <c r="B21" s="590"/>
      <c r="C21" s="2410" t="s">
        <v>705</v>
      </c>
      <c r="D21" s="2411"/>
      <c r="E21" s="2411"/>
      <c r="F21" s="2411"/>
      <c r="G21" s="2411"/>
      <c r="H21" s="2412"/>
      <c r="I21" s="624" t="s">
        <v>706</v>
      </c>
      <c r="J21" s="627"/>
      <c r="K21" s="596"/>
    </row>
    <row r="22" spans="1:11" ht="19" thickBot="1">
      <c r="A22" s="427"/>
      <c r="B22" s="628"/>
      <c r="C22" s="2410" t="s">
        <v>707</v>
      </c>
      <c r="D22" s="2411"/>
      <c r="E22" s="2411"/>
      <c r="F22" s="2411"/>
      <c r="G22" s="2411"/>
      <c r="H22" s="2412"/>
      <c r="I22" s="624" t="s">
        <v>708</v>
      </c>
      <c r="J22" s="627"/>
      <c r="K22" s="727"/>
    </row>
    <row r="23" spans="1:11" ht="14.5">
      <c r="A23" s="427"/>
      <c r="B23" s="629"/>
      <c r="C23" s="598"/>
      <c r="D23" s="598"/>
      <c r="E23" s="598"/>
      <c r="F23" s="2413" t="s">
        <v>709</v>
      </c>
      <c r="G23" s="2413"/>
      <c r="H23" s="2413"/>
      <c r="I23" s="2413"/>
      <c r="J23" s="2413"/>
      <c r="K23" s="629"/>
    </row>
    <row r="24" spans="1:11" ht="14.5">
      <c r="A24" s="427"/>
      <c r="B24" s="427"/>
      <c r="C24" s="630"/>
      <c r="D24" s="631"/>
      <c r="E24" s="631"/>
      <c r="F24" s="2413"/>
      <c r="G24" s="2413"/>
      <c r="H24" s="2413"/>
      <c r="I24" s="2413"/>
      <c r="J24" s="2413"/>
    </row>
    <row r="25" spans="1:11" ht="13" thickBot="1">
      <c r="A25" s="427"/>
      <c r="B25" s="427"/>
      <c r="C25" s="631"/>
      <c r="D25" s="631"/>
      <c r="E25" s="631"/>
      <c r="F25" s="631"/>
      <c r="G25" s="631"/>
      <c r="H25" s="631"/>
      <c r="I25" s="631"/>
      <c r="J25" s="631"/>
    </row>
    <row r="26" spans="1:11" ht="15" thickBot="1">
      <c r="A26" s="427"/>
      <c r="B26" s="632"/>
      <c r="C26" s="633" t="s">
        <v>710</v>
      </c>
      <c r="D26" s="634"/>
      <c r="E26" s="635" t="s">
        <v>711</v>
      </c>
      <c r="F26" s="633" t="s">
        <v>712</v>
      </c>
      <c r="G26" s="634"/>
      <c r="H26" s="636"/>
      <c r="I26" s="2397"/>
      <c r="J26" s="2398"/>
      <c r="K26" s="637"/>
    </row>
    <row r="27" spans="1:11" ht="15" thickBot="1">
      <c r="A27" s="427"/>
      <c r="B27" s="623"/>
      <c r="C27" s="633" t="s">
        <v>713</v>
      </c>
      <c r="D27" s="638"/>
      <c r="E27" s="633" t="s">
        <v>714</v>
      </c>
      <c r="F27" s="720" t="s">
        <v>715</v>
      </c>
      <c r="G27" s="638"/>
      <c r="H27" s="635" t="s">
        <v>716</v>
      </c>
      <c r="I27" s="635" t="s">
        <v>717</v>
      </c>
      <c r="J27" s="635"/>
      <c r="K27" s="639"/>
    </row>
    <row r="28" spans="1:11" ht="15" thickBot="1">
      <c r="A28" s="427"/>
      <c r="B28" s="623"/>
      <c r="C28" s="640"/>
      <c r="D28" s="631"/>
      <c r="E28" s="640"/>
      <c r="F28" s="641"/>
      <c r="G28" s="631"/>
      <c r="H28" s="641"/>
      <c r="I28" s="641"/>
      <c r="J28" s="641"/>
      <c r="K28" s="639"/>
    </row>
    <row r="29" spans="1:11" ht="19" thickBot="1">
      <c r="A29" s="427"/>
      <c r="B29" s="623"/>
      <c r="C29" s="2386" t="s">
        <v>718</v>
      </c>
      <c r="D29" s="2387"/>
      <c r="E29" s="2387"/>
      <c r="F29" s="2387"/>
      <c r="G29" s="2387"/>
      <c r="H29" s="2387"/>
      <c r="I29" s="2387"/>
      <c r="J29" s="2388"/>
      <c r="K29" s="642"/>
    </row>
    <row r="30" spans="1:11" ht="15" thickBot="1">
      <c r="A30" s="427"/>
      <c r="B30" s="623"/>
      <c r="C30" s="2389" t="s">
        <v>719</v>
      </c>
      <c r="D30" s="2390"/>
      <c r="E30" s="2391"/>
      <c r="F30" s="2392" t="s">
        <v>720</v>
      </c>
      <c r="G30" s="2393"/>
      <c r="H30" s="2393"/>
      <c r="I30" s="2393"/>
      <c r="J30" s="2394"/>
      <c r="K30" s="622"/>
    </row>
    <row r="31" spans="1:11" ht="15" thickBot="1">
      <c r="A31" s="427"/>
      <c r="B31" s="623"/>
      <c r="C31" s="2380" t="s">
        <v>721</v>
      </c>
      <c r="D31" s="2395"/>
      <c r="E31" s="2396"/>
      <c r="F31" s="2383" t="s">
        <v>722</v>
      </c>
      <c r="G31" s="2384"/>
      <c r="H31" s="2385"/>
      <c r="I31" s="2383" t="s">
        <v>723</v>
      </c>
      <c r="J31" s="2385"/>
      <c r="K31" s="643"/>
    </row>
    <row r="32" spans="1:11" ht="15" thickBot="1">
      <c r="A32" s="427"/>
      <c r="B32" s="623"/>
      <c r="C32" s="2380" t="s">
        <v>724</v>
      </c>
      <c r="D32" s="2381"/>
      <c r="E32" s="2382"/>
      <c r="F32" s="2383" t="s">
        <v>725</v>
      </c>
      <c r="G32" s="2384"/>
      <c r="H32" s="2385"/>
      <c r="I32" s="2383" t="s">
        <v>726</v>
      </c>
      <c r="J32" s="2385"/>
      <c r="K32" s="643"/>
    </row>
    <row r="33" spans="1:11" ht="15" thickBot="1">
      <c r="A33" s="427"/>
      <c r="B33" s="644"/>
      <c r="C33" s="2380" t="s">
        <v>727</v>
      </c>
      <c r="D33" s="2381"/>
      <c r="E33" s="2382"/>
      <c r="F33" s="2383" t="s">
        <v>728</v>
      </c>
      <c r="G33" s="2384"/>
      <c r="H33" s="2385"/>
      <c r="I33" s="2383" t="s">
        <v>729</v>
      </c>
      <c r="J33" s="2385"/>
      <c r="K33" s="728"/>
    </row>
    <row r="34" spans="1:11">
      <c r="A34" s="427"/>
      <c r="B34" s="2378" t="s">
        <v>730</v>
      </c>
      <c r="C34" s="2378"/>
      <c r="D34" s="427"/>
      <c r="E34" s="427"/>
      <c r="F34" s="645" t="s">
        <v>121</v>
      </c>
      <c r="G34" s="427"/>
      <c r="H34" s="427"/>
      <c r="I34" s="2379" t="str">
        <f>'0F Lj'!D80</f>
        <v xml:space="preserve"> Sistema ByDesigner Desenvolvido Neri (21) 97014-2420</v>
      </c>
      <c r="J34" s="2379"/>
      <c r="K34" s="2379"/>
    </row>
    <row r="35" spans="1:11">
      <c r="A35" s="427"/>
      <c r="B35" s="427"/>
      <c r="C35" s="427"/>
      <c r="D35" s="427"/>
      <c r="E35" s="427"/>
      <c r="F35" s="427"/>
      <c r="G35" s="427"/>
      <c r="H35" s="427"/>
      <c r="I35" s="427"/>
    </row>
    <row r="36" spans="1:11" ht="14.5">
      <c r="A36" s="427"/>
      <c r="B36" s="427"/>
      <c r="C36" s="427"/>
      <c r="D36" s="427"/>
      <c r="E36" s="427"/>
      <c r="F36" s="427"/>
      <c r="G36" s="427"/>
      <c r="H36" s="427"/>
      <c r="I36" s="582"/>
    </row>
    <row r="37" spans="1:11">
      <c r="A37" s="427"/>
      <c r="B37" s="427"/>
      <c r="C37" s="427"/>
      <c r="D37" s="427"/>
      <c r="E37" s="427"/>
      <c r="F37" s="427"/>
      <c r="G37" s="427"/>
      <c r="H37" s="427"/>
      <c r="I37" s="427"/>
    </row>
    <row r="38" spans="1:11" ht="14.5">
      <c r="A38" s="427"/>
      <c r="B38" s="646"/>
      <c r="C38" s="647" t="s">
        <v>731</v>
      </c>
      <c r="D38" s="427"/>
      <c r="E38" s="427"/>
      <c r="F38" s="427"/>
      <c r="G38" s="427"/>
      <c r="H38" s="427"/>
      <c r="I38" s="582"/>
    </row>
    <row r="39" spans="1:11" ht="14.5">
      <c r="A39" s="427"/>
      <c r="B39" s="646"/>
      <c r="C39" s="646"/>
      <c r="D39" s="427"/>
      <c r="E39" s="427"/>
      <c r="F39" s="427"/>
      <c r="G39" s="427"/>
      <c r="H39" s="427"/>
      <c r="I39" s="427"/>
    </row>
    <row r="40" spans="1:11" ht="14.5">
      <c r="A40" s="427"/>
      <c r="B40" s="646"/>
      <c r="C40" s="646"/>
      <c r="D40" s="427"/>
      <c r="E40" s="427"/>
      <c r="F40" s="427"/>
      <c r="G40" s="427"/>
      <c r="H40" s="427"/>
      <c r="I40" s="427"/>
    </row>
    <row r="41" spans="1:11" ht="14.5">
      <c r="A41" s="427"/>
      <c r="B41" s="427"/>
      <c r="C41" s="427"/>
      <c r="D41" s="427"/>
      <c r="E41" s="427"/>
      <c r="F41" s="427"/>
      <c r="G41" s="427"/>
      <c r="H41" s="427"/>
      <c r="I41" s="582"/>
    </row>
    <row r="42" spans="1:11">
      <c r="A42" s="427"/>
      <c r="B42" s="427"/>
      <c r="C42" s="427"/>
      <c r="D42" s="427"/>
      <c r="E42" s="427"/>
      <c r="F42" s="427"/>
      <c r="G42" s="427"/>
      <c r="H42" s="427"/>
      <c r="I42" s="427"/>
    </row>
    <row r="43" spans="1:11" ht="14.5">
      <c r="A43" s="646"/>
      <c r="B43" s="646"/>
      <c r="C43" s="648" t="str">
        <f>HYPERLINK("http://www.bydesigner.com.br/gestor","Obs: bydesigner.com.br/gestor")</f>
        <v>Obs: bydesigner.com.br/gestor</v>
      </c>
      <c r="D43" s="646"/>
      <c r="E43" s="646" t="s">
        <v>732</v>
      </c>
      <c r="F43" s="646"/>
      <c r="G43" s="646"/>
      <c r="H43" s="646"/>
      <c r="I43" s="646"/>
      <c r="J43" s="646"/>
      <c r="K43" s="646"/>
    </row>
    <row r="44" spans="1:11" ht="14.5">
      <c r="A44" s="646"/>
      <c r="B44" s="646"/>
      <c r="C44" s="646" t="s">
        <v>733</v>
      </c>
      <c r="D44" s="646"/>
      <c r="E44" s="646"/>
      <c r="F44" s="646"/>
      <c r="G44" s="646"/>
      <c r="H44" s="646"/>
      <c r="I44" s="646"/>
      <c r="J44" s="646"/>
      <c r="K44" s="646"/>
    </row>
    <row r="45" spans="1:11" ht="14.5">
      <c r="A45" s="646"/>
      <c r="B45" s="646"/>
      <c r="C45" s="646"/>
      <c r="D45" s="646"/>
      <c r="E45" s="646" t="s">
        <v>734</v>
      </c>
      <c r="F45" s="646"/>
      <c r="G45" s="646"/>
      <c r="H45" s="646"/>
      <c r="I45" s="646"/>
      <c r="J45" s="646"/>
      <c r="K45" s="646"/>
    </row>
    <row r="46" spans="1:11" ht="14.5">
      <c r="A46" s="646"/>
      <c r="B46" s="646"/>
      <c r="C46" s="646" t="s">
        <v>735</v>
      </c>
      <c r="D46" s="646"/>
      <c r="E46" s="646"/>
      <c r="F46" s="646"/>
      <c r="G46" s="646"/>
      <c r="H46" s="646"/>
      <c r="I46" s="646"/>
      <c r="J46" s="646"/>
      <c r="K46" s="646"/>
    </row>
    <row r="47" spans="1:11">
      <c r="A47" s="427"/>
      <c r="B47" s="427"/>
      <c r="C47" s="427"/>
      <c r="D47" s="427"/>
      <c r="E47" s="427"/>
      <c r="F47" s="427"/>
      <c r="G47" s="427"/>
      <c r="H47" s="427"/>
      <c r="I47" s="427"/>
    </row>
    <row r="48" spans="1:11">
      <c r="A48" s="427"/>
      <c r="B48" s="427"/>
      <c r="C48" s="427"/>
      <c r="D48" s="427"/>
      <c r="E48" s="427"/>
      <c r="F48" s="427"/>
      <c r="G48" s="427"/>
      <c r="H48" s="427"/>
      <c r="I48" s="427"/>
    </row>
    <row r="49" spans="1:9">
      <c r="A49" s="427"/>
      <c r="B49" s="427"/>
      <c r="C49" s="427"/>
      <c r="D49" s="427"/>
      <c r="E49" s="427"/>
      <c r="F49" s="427"/>
      <c r="G49" s="427"/>
      <c r="H49" s="427"/>
      <c r="I49" s="427"/>
    </row>
    <row r="50" spans="1:9">
      <c r="A50" s="427"/>
      <c r="B50" s="427"/>
      <c r="C50" s="427"/>
      <c r="D50" s="427"/>
      <c r="E50" s="427"/>
      <c r="F50" s="427"/>
      <c r="G50" s="427"/>
      <c r="H50" s="427"/>
      <c r="I50" s="427"/>
    </row>
    <row r="51" spans="1:9">
      <c r="A51" s="427"/>
      <c r="B51" s="427"/>
      <c r="C51" s="427"/>
      <c r="D51" s="427"/>
      <c r="E51" s="427"/>
      <c r="F51" s="427"/>
      <c r="G51" s="427"/>
      <c r="H51" s="427"/>
      <c r="I51" s="427"/>
    </row>
    <row r="52" spans="1:9">
      <c r="A52" s="427"/>
      <c r="B52" s="427"/>
      <c r="C52" s="427"/>
      <c r="D52" s="427"/>
      <c r="E52" s="427"/>
      <c r="F52" s="427"/>
      <c r="G52" s="427"/>
      <c r="H52" s="427"/>
      <c r="I52" s="427"/>
    </row>
    <row r="53" spans="1:9">
      <c r="A53" s="427"/>
      <c r="B53" s="427"/>
      <c r="C53" s="427"/>
      <c r="D53" s="427"/>
      <c r="E53" s="427"/>
      <c r="F53" s="427"/>
      <c r="G53" s="427"/>
      <c r="H53" s="427"/>
      <c r="I53" s="427"/>
    </row>
    <row r="54" spans="1:9">
      <c r="A54" s="427"/>
      <c r="B54" s="427"/>
      <c r="C54" s="427"/>
      <c r="D54" s="427"/>
      <c r="E54" s="427"/>
      <c r="F54" s="427"/>
      <c r="G54" s="427"/>
      <c r="H54" s="427"/>
      <c r="I54" s="427"/>
    </row>
    <row r="55" spans="1:9">
      <c r="A55" s="427"/>
      <c r="B55" s="427"/>
      <c r="C55" s="427"/>
      <c r="D55" s="427"/>
      <c r="E55" s="427"/>
      <c r="F55" s="427"/>
      <c r="G55" s="427"/>
      <c r="H55" s="427"/>
      <c r="I55" s="427"/>
    </row>
    <row r="56" spans="1:9">
      <c r="A56" s="427"/>
      <c r="B56" s="427"/>
      <c r="C56" s="427"/>
      <c r="D56" s="427"/>
      <c r="E56" s="427"/>
      <c r="F56" s="427"/>
      <c r="G56" s="427"/>
      <c r="H56" s="427"/>
      <c r="I56" s="427"/>
    </row>
    <row r="57" spans="1:9">
      <c r="A57" s="427"/>
      <c r="B57" s="427"/>
      <c r="C57" s="427"/>
      <c r="D57" s="427"/>
      <c r="E57" s="427"/>
      <c r="F57" s="427"/>
      <c r="G57" s="427"/>
      <c r="H57" s="427"/>
      <c r="I57" s="427"/>
    </row>
    <row r="58" spans="1:9">
      <c r="A58" s="427"/>
      <c r="B58" s="427"/>
      <c r="C58" s="427"/>
      <c r="D58" s="427"/>
      <c r="E58" s="427"/>
      <c r="F58" s="427"/>
      <c r="G58" s="427"/>
      <c r="H58" s="427"/>
      <c r="I58" s="427"/>
    </row>
    <row r="59" spans="1:9">
      <c r="A59" s="427"/>
      <c r="B59" s="427"/>
      <c r="C59" s="427"/>
      <c r="D59" s="427"/>
      <c r="E59" s="427"/>
      <c r="F59" s="427"/>
      <c r="G59" s="427"/>
      <c r="H59" s="427"/>
      <c r="I59" s="427"/>
    </row>
    <row r="60" spans="1:9">
      <c r="A60" s="427"/>
      <c r="B60" s="427"/>
      <c r="C60" s="427"/>
      <c r="D60" s="427"/>
      <c r="E60" s="427"/>
      <c r="F60" s="427"/>
      <c r="G60" s="427"/>
      <c r="H60" s="427"/>
      <c r="I60" s="427"/>
    </row>
    <row r="61" spans="1:9">
      <c r="A61" s="427"/>
      <c r="B61" s="427"/>
      <c r="C61" s="427"/>
      <c r="D61" s="427"/>
      <c r="E61" s="427"/>
      <c r="F61" s="427"/>
      <c r="G61" s="427"/>
      <c r="H61" s="427"/>
      <c r="I61" s="427"/>
    </row>
    <row r="62" spans="1:9" ht="14.5">
      <c r="A62" s="427"/>
      <c r="B62" s="427"/>
      <c r="C62" s="649">
        <v>45657</v>
      </c>
      <c r="D62" s="427"/>
      <c r="E62" s="650"/>
      <c r="F62" s="650"/>
      <c r="G62" s="427"/>
      <c r="H62" s="427"/>
      <c r="I62" s="427"/>
    </row>
    <row r="63" spans="1:9">
      <c r="A63" s="427"/>
      <c r="B63" s="427"/>
      <c r="C63" s="427"/>
      <c r="D63" s="427"/>
      <c r="E63" s="427"/>
      <c r="F63" s="427"/>
      <c r="G63" s="427"/>
      <c r="H63" s="427"/>
      <c r="I63" s="427"/>
    </row>
    <row r="64" spans="1:9">
      <c r="A64" s="427"/>
      <c r="B64" s="427"/>
      <c r="C64" s="427"/>
      <c r="D64" s="427"/>
      <c r="E64" s="427"/>
      <c r="F64" s="427"/>
      <c r="G64" s="427"/>
      <c r="H64" s="427"/>
      <c r="I64" s="427"/>
    </row>
    <row r="65" spans="1:9">
      <c r="A65" s="427"/>
      <c r="B65" s="427"/>
      <c r="C65" s="427"/>
      <c r="D65" s="427"/>
      <c r="E65" s="427"/>
      <c r="F65" s="427"/>
      <c r="G65" s="427"/>
      <c r="H65" s="427"/>
      <c r="I65" s="427"/>
    </row>
    <row r="66" spans="1:9">
      <c r="A66" s="427"/>
      <c r="B66" s="427"/>
      <c r="C66" s="427"/>
      <c r="D66" s="427"/>
      <c r="E66" s="427"/>
      <c r="F66" s="427"/>
      <c r="G66" s="427"/>
      <c r="H66" s="427"/>
      <c r="I66" s="427"/>
    </row>
    <row r="67" spans="1:9">
      <c r="A67" s="427"/>
      <c r="B67" s="427"/>
      <c r="C67" s="427"/>
      <c r="D67" s="427"/>
      <c r="E67" s="427"/>
      <c r="F67" s="427"/>
      <c r="G67" s="427"/>
      <c r="H67" s="427"/>
      <c r="I67" s="427"/>
    </row>
    <row r="68" spans="1:9">
      <c r="A68" s="427"/>
      <c r="B68" s="427"/>
      <c r="C68" s="427"/>
      <c r="D68" s="427"/>
      <c r="E68" s="427"/>
      <c r="F68" s="427"/>
      <c r="G68" s="427"/>
      <c r="H68" s="427"/>
      <c r="I68" s="427"/>
    </row>
    <row r="69" spans="1:9">
      <c r="A69" s="427"/>
      <c r="B69" s="427"/>
      <c r="C69" s="427"/>
      <c r="D69" s="427"/>
      <c r="E69" s="427"/>
      <c r="F69" s="427"/>
      <c r="G69" s="427"/>
      <c r="H69" s="427"/>
      <c r="I69" s="427"/>
    </row>
    <row r="70" spans="1:9">
      <c r="A70" s="427"/>
      <c r="B70" s="427"/>
      <c r="C70" s="427"/>
      <c r="D70" s="427"/>
      <c r="E70" s="427"/>
      <c r="F70" s="427"/>
      <c r="G70" s="427"/>
      <c r="H70" s="427"/>
      <c r="I70" s="427"/>
    </row>
    <row r="71" spans="1:9">
      <c r="A71" s="427"/>
      <c r="B71" s="427"/>
      <c r="C71" s="427"/>
      <c r="D71" s="427"/>
      <c r="E71" s="427"/>
      <c r="F71" s="427"/>
      <c r="G71" s="427"/>
      <c r="H71" s="427"/>
      <c r="I71" s="427"/>
    </row>
    <row r="72" spans="1:9">
      <c r="A72" s="427"/>
      <c r="B72" s="427"/>
      <c r="C72" s="427"/>
      <c r="D72" s="427"/>
      <c r="E72" s="427"/>
      <c r="F72" s="427"/>
      <c r="G72" s="427"/>
      <c r="H72" s="427"/>
      <c r="I72" s="427"/>
    </row>
    <row r="73" spans="1:9">
      <c r="A73" s="427"/>
      <c r="B73" s="427"/>
      <c r="C73" s="427"/>
      <c r="D73" s="427"/>
      <c r="E73" s="427"/>
      <c r="F73" s="427"/>
      <c r="G73" s="427"/>
      <c r="H73" s="427"/>
      <c r="I73" s="427"/>
    </row>
    <row r="74" spans="1:9">
      <c r="A74" s="427"/>
      <c r="B74" s="427"/>
      <c r="C74" s="427"/>
      <c r="D74" s="427"/>
      <c r="E74" s="427"/>
      <c r="F74" s="427"/>
      <c r="G74" s="427"/>
      <c r="H74" s="427"/>
      <c r="I74" s="427"/>
    </row>
    <row r="75" spans="1:9">
      <c r="A75" s="427"/>
      <c r="B75" s="427"/>
      <c r="C75" s="427"/>
      <c r="D75" s="427"/>
      <c r="E75" s="427"/>
      <c r="F75" s="427"/>
      <c r="G75" s="427"/>
      <c r="H75" s="427"/>
      <c r="I75" s="427"/>
    </row>
    <row r="76" spans="1:9">
      <c r="A76" s="427"/>
      <c r="B76" s="427"/>
      <c r="C76" s="427"/>
      <c r="D76" s="427"/>
      <c r="E76" s="427"/>
      <c r="F76" s="427"/>
      <c r="G76" s="427"/>
      <c r="H76" s="427"/>
      <c r="I76" s="427"/>
    </row>
    <row r="77" spans="1:9">
      <c r="A77" s="427"/>
      <c r="B77" s="427"/>
      <c r="C77" s="427"/>
      <c r="D77" s="427"/>
      <c r="E77" s="427"/>
      <c r="F77" s="427"/>
      <c r="G77" s="427"/>
      <c r="H77" s="427"/>
      <c r="I77" s="427"/>
    </row>
    <row r="78" spans="1:9">
      <c r="A78" s="427"/>
      <c r="B78" s="427"/>
      <c r="C78" s="427"/>
      <c r="D78" s="427"/>
      <c r="E78" s="427"/>
      <c r="F78" s="427"/>
      <c r="G78" s="427"/>
      <c r="H78" s="427"/>
      <c r="I78" s="427"/>
    </row>
    <row r="79" spans="1:9">
      <c r="A79" s="427"/>
      <c r="B79" s="427"/>
      <c r="C79" s="427"/>
      <c r="D79" s="427"/>
      <c r="E79" s="427"/>
      <c r="F79" s="427"/>
      <c r="G79" s="427"/>
      <c r="H79" s="427"/>
      <c r="I79" s="427"/>
    </row>
    <row r="80" spans="1:9">
      <c r="A80" s="427"/>
      <c r="B80" s="427"/>
      <c r="C80" s="427"/>
      <c r="D80" s="427"/>
      <c r="E80" s="427"/>
      <c r="F80" s="427"/>
      <c r="G80" s="427"/>
      <c r="H80" s="427"/>
      <c r="I80" s="427"/>
    </row>
    <row r="81" spans="1:9">
      <c r="A81" s="427"/>
      <c r="B81" s="427"/>
      <c r="C81" s="427"/>
      <c r="D81" s="427"/>
      <c r="E81" s="427"/>
      <c r="F81" s="427"/>
      <c r="G81" s="427"/>
      <c r="H81" s="427"/>
      <c r="I81" s="427"/>
    </row>
    <row r="82" spans="1:9">
      <c r="A82" s="427"/>
      <c r="B82" s="427"/>
      <c r="C82" s="427"/>
      <c r="D82" s="427"/>
      <c r="E82" s="427"/>
      <c r="F82" s="427"/>
      <c r="G82" s="427"/>
      <c r="H82" s="427"/>
      <c r="I82" s="427"/>
    </row>
    <row r="83" spans="1:9">
      <c r="A83" s="427"/>
      <c r="B83" s="427"/>
      <c r="C83" s="427"/>
      <c r="D83" s="427"/>
      <c r="E83" s="427"/>
      <c r="F83" s="427"/>
      <c r="G83" s="427"/>
      <c r="H83" s="427"/>
      <c r="I83" s="427"/>
    </row>
    <row r="84" spans="1:9">
      <c r="A84" s="427"/>
      <c r="B84" s="427"/>
      <c r="C84" s="427"/>
      <c r="D84" s="427"/>
      <c r="E84" s="427"/>
      <c r="F84" s="427"/>
      <c r="G84" s="427"/>
      <c r="H84" s="427"/>
      <c r="I84" s="427"/>
    </row>
    <row r="85" spans="1:9">
      <c r="A85" s="427"/>
      <c r="B85" s="427"/>
      <c r="C85" s="427"/>
      <c r="D85" s="427"/>
      <c r="E85" s="427"/>
      <c r="F85" s="427"/>
      <c r="G85" s="427"/>
      <c r="H85" s="427"/>
      <c r="I85" s="427"/>
    </row>
    <row r="86" spans="1:9">
      <c r="A86" s="427"/>
      <c r="B86" s="427"/>
      <c r="C86" s="427"/>
      <c r="D86" s="427"/>
      <c r="E86" s="427"/>
      <c r="F86" s="427"/>
      <c r="G86" s="427"/>
      <c r="H86" s="427"/>
      <c r="I86" s="427"/>
    </row>
    <row r="87" spans="1:9">
      <c r="A87" s="427"/>
      <c r="B87" s="427"/>
      <c r="C87" s="427"/>
      <c r="D87" s="427"/>
      <c r="E87" s="427"/>
      <c r="F87" s="427"/>
      <c r="G87" s="427"/>
      <c r="H87" s="427"/>
      <c r="I87" s="427"/>
    </row>
    <row r="88" spans="1:9">
      <c r="A88" s="427"/>
      <c r="B88" s="427"/>
      <c r="C88" s="427"/>
      <c r="D88" s="427"/>
      <c r="E88" s="427"/>
      <c r="F88" s="427"/>
      <c r="G88" s="427"/>
      <c r="H88" s="427"/>
      <c r="I88" s="427"/>
    </row>
  </sheetData>
  <sheetProtection algorithmName="SHA-512" hashValue="7EJZv/NW7vBOSpCXh92QKulbhOlCWGYK0n3glIEAh18da4KPxQgN2eamzSHRwQiqoyieUj+vZ1zUqlh7KPwvGA==" saltValue="F6RM0PuybGDxBOaXUW1RmA==" spinCount="100000" sheet="1" objects="1" scenarios="1"/>
  <mergeCells count="39">
    <mergeCell ref="B2:C2"/>
    <mergeCell ref="E13:F13"/>
    <mergeCell ref="E3:F3"/>
    <mergeCell ref="E4:F4"/>
    <mergeCell ref="I5:J5"/>
    <mergeCell ref="C6:J6"/>
    <mergeCell ref="E7:F7"/>
    <mergeCell ref="E12:F12"/>
    <mergeCell ref="D2:E2"/>
    <mergeCell ref="E8:F8"/>
    <mergeCell ref="E9:F9"/>
    <mergeCell ref="E10:F10"/>
    <mergeCell ref="E11:F11"/>
    <mergeCell ref="I26:J26"/>
    <mergeCell ref="E14:F14"/>
    <mergeCell ref="H14:J14"/>
    <mergeCell ref="E15:F15"/>
    <mergeCell ref="H15:J16"/>
    <mergeCell ref="E16:F16"/>
    <mergeCell ref="C18:H18"/>
    <mergeCell ref="C19:H19"/>
    <mergeCell ref="C20:H20"/>
    <mergeCell ref="C21:H21"/>
    <mergeCell ref="C22:H22"/>
    <mergeCell ref="F23:J24"/>
    <mergeCell ref="C29:J29"/>
    <mergeCell ref="C30:E30"/>
    <mergeCell ref="F30:J30"/>
    <mergeCell ref="C31:E31"/>
    <mergeCell ref="F31:H31"/>
    <mergeCell ref="I31:J31"/>
    <mergeCell ref="B34:C34"/>
    <mergeCell ref="I34:K34"/>
    <mergeCell ref="C32:E32"/>
    <mergeCell ref="F32:H32"/>
    <mergeCell ref="I32:J32"/>
    <mergeCell ref="C33:E33"/>
    <mergeCell ref="F33:H33"/>
    <mergeCell ref="I33:J33"/>
  </mergeCells>
  <hyperlinks>
    <hyperlink ref="H5" r:id="rId1" display="Inscrição Estadual" xr:uid="{00000000-0004-0000-1200-000000000000}"/>
    <hyperlink ref="I21" r:id="rId2" display="Faça sua consulta no Serasa.." xr:uid="{00000000-0004-0000-1200-000001000000}"/>
    <hyperlink ref="I20" r:id="rId3" xr:uid="{00000000-0004-0000-1200-000002000000}"/>
    <hyperlink ref="F5" r:id="rId4" xr:uid="{00000000-0004-0000-1200-000003000000}"/>
    <hyperlink ref="I19" r:id="rId5" xr:uid="{00000000-0004-0000-1200-000004000000}"/>
    <hyperlink ref="I22" r:id="rId6" xr:uid="{00000000-0004-0000-1200-000005000000}"/>
    <hyperlink ref="I5" r:id="rId7" display="ADILSON@ATUALPLANEJADOSMEIER.COM.BR" xr:uid="{00000000-0004-0000-1200-000006000000}"/>
    <hyperlink ref="I10" r:id="rId8" display="tel://5521995562020" xr:uid="{00000000-0004-0000-1200-000007000000}"/>
    <hyperlink ref="I11:I13" r:id="rId9" display="tel://5521995562020" xr:uid="{00000000-0004-0000-1200-000008000000}"/>
    <hyperlink ref="B2" r:id="rId10" display="Sistema Gestor de Loja - By Designer.com.br" xr:uid="{7736052F-71FB-4DC4-AA5C-A39B5084B376}"/>
  </hyperlinks>
  <printOptions horizontalCentered="1" verticalCentered="1"/>
  <pageMargins left="0" right="0" top="0.78740157480314965" bottom="0.78740157480314965" header="0.31496062992125984" footer="0.31496062992125984"/>
  <pageSetup paperSize="9" scale="85" orientation="landscape" horizontalDpi="0" verticalDpi="0" r:id="rId11"/>
  <drawing r:id="rId1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10">
    <tabColor rgb="FF00B0F0"/>
  </sheetPr>
  <dimension ref="A1:F144"/>
  <sheetViews>
    <sheetView workbookViewId="0">
      <selection activeCell="D6" sqref="D6"/>
    </sheetView>
  </sheetViews>
  <sheetFormatPr defaultColWidth="9.1796875" defaultRowHeight="12.5"/>
  <cols>
    <col min="1" max="5" width="9.1796875" style="340"/>
    <col min="6" max="6" width="13.26953125" style="340" bestFit="1" customWidth="1"/>
    <col min="7" max="16384" width="9.1796875" style="340"/>
  </cols>
  <sheetData>
    <row r="1" spans="1:6">
      <c r="A1" s="340" t="str">
        <f>'[10]F Lj'!$B32</f>
        <v>1 - Adelir</v>
      </c>
      <c r="F1" s="340" t="str">
        <f>'14 Pers.'!$X3</f>
        <v xml:space="preserve">(0) 1+00=01 X </v>
      </c>
    </row>
    <row r="2" spans="1:6">
      <c r="A2" s="340" t="str">
        <f>'[10]F Lj'!$B33</f>
        <v>2 - Marco Antônio</v>
      </c>
      <c r="F2" s="340" t="str">
        <f>'14 Pers.'!$X4</f>
        <v xml:space="preserve">(0) 1+01=02 X </v>
      </c>
    </row>
    <row r="3" spans="1:6">
      <c r="A3" s="340">
        <f>'[10]F Lj'!$B34</f>
        <v>3</v>
      </c>
      <c r="F3" s="340" t="str">
        <f>'14 Pers.'!$X5</f>
        <v xml:space="preserve">(0) 1+02=03 X </v>
      </c>
    </row>
    <row r="4" spans="1:6">
      <c r="A4" s="340">
        <f>'[10]F Lj'!$B35</f>
        <v>4</v>
      </c>
      <c r="F4" s="340" t="str">
        <f>'14 Pers.'!$X6</f>
        <v xml:space="preserve">(0) 1+03=04 X </v>
      </c>
    </row>
    <row r="5" spans="1:6">
      <c r="A5" s="340">
        <f>'[10]F Lj'!$B36</f>
        <v>5</v>
      </c>
      <c r="F5" s="340" t="str">
        <f>'14 Pers.'!$X7</f>
        <v xml:space="preserve">(0) 1+04=05 X </v>
      </c>
    </row>
    <row r="6" spans="1:6">
      <c r="A6" s="340">
        <f>'[10]F Lj'!$B37</f>
        <v>6</v>
      </c>
      <c r="F6" s="340" t="str">
        <f>'14 Pers.'!$X8</f>
        <v xml:space="preserve">(0) 1+05=06 X </v>
      </c>
    </row>
    <row r="7" spans="1:6">
      <c r="F7" s="340" t="str">
        <f>'14 Pers.'!$X9</f>
        <v xml:space="preserve">(0) 1+06=07 X </v>
      </c>
    </row>
    <row r="8" spans="1:6">
      <c r="F8" s="340" t="str">
        <f>'14 Pers.'!$X10</f>
        <v xml:space="preserve">(0) 1+07=08 X </v>
      </c>
    </row>
    <row r="9" spans="1:6">
      <c r="F9" s="340" t="str">
        <f>'14 Pers.'!$X11</f>
        <v xml:space="preserve">(0) 1+08=09 X </v>
      </c>
    </row>
    <row r="10" spans="1:6">
      <c r="F10" s="340" t="str">
        <f>'14 Pers.'!$X12</f>
        <v xml:space="preserve">(0) 1+09=10 X </v>
      </c>
    </row>
    <row r="11" spans="1:6">
      <c r="F11" s="340" t="str">
        <f>'14 Pers.'!$X13</f>
        <v xml:space="preserve">(0) 1+10=11 X </v>
      </c>
    </row>
    <row r="12" spans="1:6">
      <c r="F12" s="340" t="str">
        <f>'14 Pers.'!$X14</f>
        <v xml:space="preserve">(0) 1+11=12 X </v>
      </c>
    </row>
    <row r="13" spans="1:6">
      <c r="F13" s="340" t="str">
        <f>'14 Pers.'!$X15</f>
        <v xml:space="preserve">(0) 1+12=13 X </v>
      </c>
    </row>
    <row r="14" spans="1:6">
      <c r="F14" s="340" t="str">
        <f>'14 Pers.'!$X16</f>
        <v xml:space="preserve">(0) 1+13=14 X </v>
      </c>
    </row>
    <row r="15" spans="1:6">
      <c r="F15" s="340" t="str">
        <f>'14 Pers.'!$X17</f>
        <v xml:space="preserve">(0) 1+14=15 X </v>
      </c>
    </row>
    <row r="16" spans="1:6">
      <c r="F16" s="340" t="str">
        <f>'14 Pers.'!$X18</f>
        <v xml:space="preserve">(0) 1+15=16 X </v>
      </c>
    </row>
    <row r="17" spans="6:6">
      <c r="F17" s="340" t="str">
        <f>'14 Pers.'!$X19</f>
        <v xml:space="preserve">(0) 1+16=17 X </v>
      </c>
    </row>
    <row r="18" spans="6:6">
      <c r="F18" s="340" t="str">
        <f>'14 Pers.'!$X20</f>
        <v xml:space="preserve">(0) 1+17=18 X </v>
      </c>
    </row>
    <row r="19" spans="6:6">
      <c r="F19" s="340" t="str">
        <f>'14 Pers.'!$X21</f>
        <v xml:space="preserve">(0) 1+18=19X </v>
      </c>
    </row>
    <row r="20" spans="6:6">
      <c r="F20" s="340" t="str">
        <f>'14 Pers.'!$X22</f>
        <v xml:space="preserve">(0) 1+19=20 X </v>
      </c>
    </row>
    <row r="21" spans="6:6">
      <c r="F21" s="340" t="str">
        <f>'14 Pers.'!$X23</f>
        <v xml:space="preserve">(0) 1+20=21 X </v>
      </c>
    </row>
    <row r="22" spans="6:6">
      <c r="F22" s="340" t="str">
        <f>'14 Pers.'!$X24</f>
        <v xml:space="preserve">(0) 1+21=22 X </v>
      </c>
    </row>
    <row r="23" spans="6:6">
      <c r="F23" s="340" t="str">
        <f>'14 Pers.'!$X25</f>
        <v xml:space="preserve">(0) 1+22=23 X </v>
      </c>
    </row>
    <row r="24" spans="6:6">
      <c r="F24" s="340" t="str">
        <f>'14 Pers.'!$X26</f>
        <v xml:space="preserve">(0) 1+23=24 X </v>
      </c>
    </row>
    <row r="25" spans="6:6">
      <c r="F25" s="340" t="str">
        <f>'14 Pers.'!$X27</f>
        <v xml:space="preserve">(0) 1+24=25 X </v>
      </c>
    </row>
    <row r="26" spans="6:6">
      <c r="F26" s="340" t="str">
        <f>'14 Pers.'!$X28</f>
        <v xml:space="preserve">(0) 1+25=26 X </v>
      </c>
    </row>
    <row r="27" spans="6:6">
      <c r="F27" s="340" t="str">
        <f>'14 Pers.'!$X29</f>
        <v xml:space="preserve">(0) 1+26=27 X </v>
      </c>
    </row>
    <row r="28" spans="6:6">
      <c r="F28" s="340" t="str">
        <f>'14 Pers.'!$X30</f>
        <v xml:space="preserve">(0) 1+27=28 X </v>
      </c>
    </row>
    <row r="29" spans="6:6">
      <c r="F29" s="340" t="str">
        <f>'14 Pers.'!$X31</f>
        <v xml:space="preserve">(0) 1+28=29 X </v>
      </c>
    </row>
    <row r="30" spans="6:6">
      <c r="F30" s="340" t="str">
        <f>'14 Pers.'!$X32</f>
        <v xml:space="preserve">(0) 1+29=30 X </v>
      </c>
    </row>
    <row r="31" spans="6:6">
      <c r="F31" s="340" t="str">
        <f>'14 Pers.'!$X33</f>
        <v xml:space="preserve">(0) 1+30=31 X </v>
      </c>
    </row>
    <row r="32" spans="6:6">
      <c r="F32" s="340" t="str">
        <f>'14 Pers.'!$X34</f>
        <v xml:space="preserve">(0) 1+31=32 X </v>
      </c>
    </row>
    <row r="33" spans="6:6">
      <c r="F33" s="340" t="str">
        <f>'14 Pers.'!$X35</f>
        <v xml:space="preserve">(0) 1+32=33 X </v>
      </c>
    </row>
    <row r="34" spans="6:6">
      <c r="F34" s="340" t="str">
        <f>'14 Pers.'!$X36</f>
        <v xml:space="preserve">(0) 1+33=34 X </v>
      </c>
    </row>
    <row r="35" spans="6:6">
      <c r="F35" s="340" t="str">
        <f>'14 Pers.'!$X39</f>
        <v xml:space="preserve">(0) 1+34=35 X </v>
      </c>
    </row>
    <row r="36" spans="6:6">
      <c r="F36" s="340" t="str">
        <f>'14 Pers.'!$X40</f>
        <v xml:space="preserve">(0) 1+35=36 X </v>
      </c>
    </row>
    <row r="37" spans="6:6">
      <c r="F37" s="340" t="str">
        <f>'14 Pers.'!$X41</f>
        <v xml:space="preserve">(30) 0+01=01 X </v>
      </c>
    </row>
    <row r="38" spans="6:6">
      <c r="F38" s="340" t="str">
        <f>'14 Pers.'!$X42</f>
        <v xml:space="preserve">(30) 0+02=02 X </v>
      </c>
    </row>
    <row r="39" spans="6:6">
      <c r="F39" s="340" t="str">
        <f>'14 Pers.'!$X43</f>
        <v xml:space="preserve">(30) 0+03=03 X </v>
      </c>
    </row>
    <row r="40" spans="6:6">
      <c r="F40" s="340" t="str">
        <f>'14 Pers.'!$X44</f>
        <v xml:space="preserve">(30) 0+04=04 X </v>
      </c>
    </row>
    <row r="41" spans="6:6">
      <c r="F41" s="340" t="str">
        <f>'14 Pers.'!$X45</f>
        <v xml:space="preserve">(30) 0+05=05 X </v>
      </c>
    </row>
    <row r="42" spans="6:6">
      <c r="F42" s="340" t="str">
        <f>'14 Pers.'!$X46</f>
        <v xml:space="preserve">(30) 0+06=06 X </v>
      </c>
    </row>
    <row r="43" spans="6:6">
      <c r="F43" s="340" t="str">
        <f>'14 Pers.'!$X47</f>
        <v xml:space="preserve">(30) 0+07=07 X </v>
      </c>
    </row>
    <row r="44" spans="6:6">
      <c r="F44" s="340" t="str">
        <f>'14 Pers.'!$X48</f>
        <v xml:space="preserve">(30) 0+08=08 X </v>
      </c>
    </row>
    <row r="45" spans="6:6">
      <c r="F45" s="340" t="str">
        <f>'14 Pers.'!$X49</f>
        <v xml:space="preserve">(30) 0+09=09 X </v>
      </c>
    </row>
    <row r="46" spans="6:6">
      <c r="F46" s="340" t="str">
        <f>'14 Pers.'!$X50</f>
        <v xml:space="preserve">(30) 0+10=10 X </v>
      </c>
    </row>
    <row r="47" spans="6:6">
      <c r="F47" s="340" t="str">
        <f>'14 Pers.'!$X51</f>
        <v xml:space="preserve">(30) 0+11=11 X </v>
      </c>
    </row>
    <row r="48" spans="6:6">
      <c r="F48" s="340" t="str">
        <f>'14 Pers.'!$X52</f>
        <v xml:space="preserve">(30) 0+12=12 X </v>
      </c>
    </row>
    <row r="49" spans="6:6">
      <c r="F49" s="340" t="str">
        <f>'14 Pers.'!$X53</f>
        <v xml:space="preserve">(30) 0+13=13 X </v>
      </c>
    </row>
    <row r="50" spans="6:6">
      <c r="F50" s="340" t="str">
        <f>'14 Pers.'!$X54</f>
        <v xml:space="preserve">(30) 0+14=14 X </v>
      </c>
    </row>
    <row r="51" spans="6:6">
      <c r="F51" s="340" t="str">
        <f>'14 Pers.'!$X55</f>
        <v xml:space="preserve">(30) 0+15=15 X </v>
      </c>
    </row>
    <row r="52" spans="6:6">
      <c r="F52" s="340" t="str">
        <f>'14 Pers.'!$X56</f>
        <v xml:space="preserve">(30) 0+16=16 X </v>
      </c>
    </row>
    <row r="53" spans="6:6">
      <c r="F53" s="340" t="str">
        <f>'14 Pers.'!$X57</f>
        <v xml:space="preserve">(30) 0+17=17 X </v>
      </c>
    </row>
    <row r="54" spans="6:6">
      <c r="F54" s="340" t="str">
        <f>'14 Pers.'!$X58</f>
        <v xml:space="preserve">(30) 0+18=18 X </v>
      </c>
    </row>
    <row r="55" spans="6:6">
      <c r="F55" s="340" t="str">
        <f>'14 Pers.'!$X59</f>
        <v xml:space="preserve">(30) 0+19=19X </v>
      </c>
    </row>
    <row r="56" spans="6:6">
      <c r="F56" s="340" t="str">
        <f>'14 Pers.'!$X60</f>
        <v xml:space="preserve">(30) 0+20=20 X </v>
      </c>
    </row>
    <row r="57" spans="6:6">
      <c r="F57" s="340" t="str">
        <f>'14 Pers.'!$X61</f>
        <v xml:space="preserve">(30) 0+21=21 X </v>
      </c>
    </row>
    <row r="58" spans="6:6">
      <c r="F58" s="340" t="str">
        <f>'14 Pers.'!$X62</f>
        <v xml:space="preserve">(30) 0+22=22 X </v>
      </c>
    </row>
    <row r="59" spans="6:6">
      <c r="F59" s="340" t="str">
        <f>'14 Pers.'!$X63</f>
        <v xml:space="preserve">(30) 0+23=23 X </v>
      </c>
    </row>
    <row r="60" spans="6:6">
      <c r="F60" s="340" t="str">
        <f>'14 Pers.'!$X64</f>
        <v xml:space="preserve">(30) 0+24=24 X </v>
      </c>
    </row>
    <row r="61" spans="6:6">
      <c r="F61" s="340" t="str">
        <f>'14 Pers.'!$X65</f>
        <v xml:space="preserve">(30) 0+25=25 X </v>
      </c>
    </row>
    <row r="62" spans="6:6">
      <c r="F62" s="340" t="str">
        <f>'14 Pers.'!$X66</f>
        <v xml:space="preserve">(30) 0+26=26 X </v>
      </c>
    </row>
    <row r="63" spans="6:6">
      <c r="F63" s="340" t="str">
        <f>'14 Pers.'!$X67</f>
        <v xml:space="preserve">(30) 0+27=27 X </v>
      </c>
    </row>
    <row r="64" spans="6:6">
      <c r="F64" s="340" t="str">
        <f>'14 Pers.'!$X68</f>
        <v xml:space="preserve">(30) 0+28=28 X </v>
      </c>
    </row>
    <row r="65" spans="6:6">
      <c r="F65" s="340" t="str">
        <f>'14 Pers.'!$X69</f>
        <v xml:space="preserve">(30) 0+29=29 X </v>
      </c>
    </row>
    <row r="66" spans="6:6">
      <c r="F66" s="340" t="str">
        <f>'14 Pers.'!$X70</f>
        <v xml:space="preserve">(30) 0+30=30 X </v>
      </c>
    </row>
    <row r="67" spans="6:6">
      <c r="F67" s="340" t="str">
        <f>'14 Pers.'!$X71</f>
        <v xml:space="preserve">(30) 0+31=31 X </v>
      </c>
    </row>
    <row r="68" spans="6:6">
      <c r="F68" s="340" t="str">
        <f>'14 Pers.'!$X72</f>
        <v xml:space="preserve">(30) 0+32=32 X </v>
      </c>
    </row>
    <row r="69" spans="6:6">
      <c r="F69" s="340" t="str">
        <f>'14 Pers.'!$X73</f>
        <v xml:space="preserve">(30) 0+33=33 X </v>
      </c>
    </row>
    <row r="70" spans="6:6">
      <c r="F70" s="340" t="str">
        <f>'14 Pers.'!$X74</f>
        <v xml:space="preserve">(30) 0+34=34 X </v>
      </c>
    </row>
    <row r="71" spans="6:6">
      <c r="F71" s="340" t="str">
        <f>'14 Pers.'!$X75</f>
        <v xml:space="preserve">(30) 0+35=35 X </v>
      </c>
    </row>
    <row r="72" spans="6:6">
      <c r="F72" s="340" t="str">
        <f>'14 Pers.'!$X76</f>
        <v xml:space="preserve">(30) 0+36=36 X </v>
      </c>
    </row>
    <row r="73" spans="6:6">
      <c r="F73" s="340" t="str">
        <f>'14 Pers.'!$X77</f>
        <v xml:space="preserve">(60) 0+01=01 X </v>
      </c>
    </row>
    <row r="74" spans="6:6">
      <c r="F74" s="340" t="str">
        <f>'14 Pers.'!$X78</f>
        <v xml:space="preserve">(60) 0+02=02 X </v>
      </c>
    </row>
    <row r="75" spans="6:6">
      <c r="F75" s="340" t="str">
        <f>'14 Pers.'!$X79</f>
        <v xml:space="preserve">(60) 0+03=03 X </v>
      </c>
    </row>
    <row r="76" spans="6:6">
      <c r="F76" s="340" t="str">
        <f>'14 Pers.'!$X80</f>
        <v xml:space="preserve">(60) 0+04=04 X </v>
      </c>
    </row>
    <row r="77" spans="6:6">
      <c r="F77" s="340" t="str">
        <f>'14 Pers.'!$X81</f>
        <v xml:space="preserve">(60) 0+05=05 X </v>
      </c>
    </row>
    <row r="78" spans="6:6">
      <c r="F78" s="340" t="str">
        <f>'14 Pers.'!$X82</f>
        <v xml:space="preserve">(60) 0+06=06 X </v>
      </c>
    </row>
    <row r="79" spans="6:6">
      <c r="F79" s="340" t="str">
        <f>'14 Pers.'!$X83</f>
        <v xml:space="preserve">(60) 0+07=07 X </v>
      </c>
    </row>
    <row r="80" spans="6:6">
      <c r="F80" s="340" t="str">
        <f>'14 Pers.'!$X84</f>
        <v xml:space="preserve">(60) 0+08=08 X </v>
      </c>
    </row>
    <row r="81" spans="6:6">
      <c r="F81" s="340" t="str">
        <f>'14 Pers.'!$X85</f>
        <v xml:space="preserve">(60) 0+09=09 X </v>
      </c>
    </row>
    <row r="82" spans="6:6">
      <c r="F82" s="340" t="str">
        <f>'14 Pers.'!$X86</f>
        <v xml:space="preserve">(60) 0+10=10 X </v>
      </c>
    </row>
    <row r="83" spans="6:6">
      <c r="F83" s="340" t="str">
        <f>'14 Pers.'!$X87</f>
        <v xml:space="preserve">(60) 0+11=11 X </v>
      </c>
    </row>
    <row r="84" spans="6:6">
      <c r="F84" s="340" t="str">
        <f>'14 Pers.'!$X88</f>
        <v xml:space="preserve">(60) 0+12=12 X </v>
      </c>
    </row>
    <row r="85" spans="6:6">
      <c r="F85" s="340" t="str">
        <f>'14 Pers.'!$X89</f>
        <v xml:space="preserve">(60) 0+13=13 X </v>
      </c>
    </row>
    <row r="86" spans="6:6">
      <c r="F86" s="340" t="str">
        <f>'14 Pers.'!$X90</f>
        <v xml:space="preserve">(60) 0+14=14 X </v>
      </c>
    </row>
    <row r="87" spans="6:6">
      <c r="F87" s="340" t="str">
        <f>'14 Pers.'!$X91</f>
        <v xml:space="preserve">(60) 0+15=15 X </v>
      </c>
    </row>
    <row r="88" spans="6:6">
      <c r="F88" s="340" t="str">
        <f>'14 Pers.'!$X92</f>
        <v xml:space="preserve">(60) 0+16=16 X </v>
      </c>
    </row>
    <row r="89" spans="6:6">
      <c r="F89" s="340" t="str">
        <f>'14 Pers.'!$X93</f>
        <v xml:space="preserve">(60) 0+17=17 X </v>
      </c>
    </row>
    <row r="90" spans="6:6">
      <c r="F90" s="340" t="str">
        <f>'14 Pers.'!$X94</f>
        <v xml:space="preserve">(60) 0+18=18 X </v>
      </c>
    </row>
    <row r="91" spans="6:6">
      <c r="F91" s="340" t="str">
        <f>'14 Pers.'!$X95</f>
        <v xml:space="preserve">(60) 0+19=19X </v>
      </c>
    </row>
    <row r="92" spans="6:6">
      <c r="F92" s="340" t="str">
        <f>'14 Pers.'!$X96</f>
        <v xml:space="preserve">(60) 0+20=20 X </v>
      </c>
    </row>
    <row r="93" spans="6:6">
      <c r="F93" s="340" t="str">
        <f>'14 Pers.'!$X97</f>
        <v xml:space="preserve">(60) 0+21=21 X </v>
      </c>
    </row>
    <row r="94" spans="6:6">
      <c r="F94" s="340" t="str">
        <f>'14 Pers.'!$X98</f>
        <v xml:space="preserve">(60) 0+22=22 X </v>
      </c>
    </row>
    <row r="95" spans="6:6">
      <c r="F95" s="340" t="str">
        <f>'14 Pers.'!$X99</f>
        <v xml:space="preserve">(60) 0+23=23 X </v>
      </c>
    </row>
    <row r="96" spans="6:6">
      <c r="F96" s="340" t="str">
        <f>'14 Pers.'!$X100</f>
        <v xml:space="preserve">(60) 0+24=24 X </v>
      </c>
    </row>
    <row r="97" spans="6:6">
      <c r="F97" s="340" t="str">
        <f>'14 Pers.'!$X101</f>
        <v xml:space="preserve">(60) 0+25=25 X </v>
      </c>
    </row>
    <row r="98" spans="6:6">
      <c r="F98" s="340" t="str">
        <f>'14 Pers.'!$X102</f>
        <v xml:space="preserve">(60) 0+26=26 X </v>
      </c>
    </row>
    <row r="99" spans="6:6">
      <c r="F99" s="340" t="str">
        <f>'14 Pers.'!$X103</f>
        <v xml:space="preserve">(60) 0+27=27 X </v>
      </c>
    </row>
    <row r="100" spans="6:6">
      <c r="F100" s="340" t="str">
        <f>'14 Pers.'!$X104</f>
        <v xml:space="preserve">(60) 0+28=28 X </v>
      </c>
    </row>
    <row r="101" spans="6:6">
      <c r="F101" s="340" t="str">
        <f>'14 Pers.'!$X105</f>
        <v xml:space="preserve">(60) 0+29=29 X </v>
      </c>
    </row>
    <row r="102" spans="6:6">
      <c r="F102" s="340" t="str">
        <f>'14 Pers.'!$X106</f>
        <v xml:space="preserve">(60) 0+30=30 X </v>
      </c>
    </row>
    <row r="103" spans="6:6">
      <c r="F103" s="340" t="str">
        <f>'14 Pers.'!$X107</f>
        <v xml:space="preserve">(60) 0+31=31 X </v>
      </c>
    </row>
    <row r="104" spans="6:6">
      <c r="F104" s="340" t="str">
        <f>'14 Pers.'!$X108</f>
        <v xml:space="preserve">(60) 0+32=32 X </v>
      </c>
    </row>
    <row r="105" spans="6:6">
      <c r="F105" s="340" t="str">
        <f>'14 Pers.'!$X109</f>
        <v xml:space="preserve">(60) 0+33=33 X </v>
      </c>
    </row>
    <row r="106" spans="6:6">
      <c r="F106" s="340" t="str">
        <f>'14 Pers.'!$X110</f>
        <v xml:space="preserve">(60) 0+34=34 X </v>
      </c>
    </row>
    <row r="107" spans="6:6">
      <c r="F107" s="340" t="str">
        <f>'14 Pers.'!$X111</f>
        <v xml:space="preserve">(60) 0+35=35 X </v>
      </c>
    </row>
    <row r="108" spans="6:6">
      <c r="F108" s="340" t="str">
        <f>'14 Pers.'!$X112</f>
        <v xml:space="preserve">(60) 0+36=36 X </v>
      </c>
    </row>
    <row r="109" spans="6:6">
      <c r="F109" s="340" t="str">
        <f>'14 Pers.'!$X113</f>
        <v xml:space="preserve">(90) 0+01=01 X </v>
      </c>
    </row>
    <row r="110" spans="6:6">
      <c r="F110" s="340" t="str">
        <f>'14 Pers.'!$X114</f>
        <v xml:space="preserve">(90) 0+02=02 X </v>
      </c>
    </row>
    <row r="111" spans="6:6">
      <c r="F111" s="340" t="str">
        <f>'14 Pers.'!$X115</f>
        <v xml:space="preserve">(90) 0+03=03 X </v>
      </c>
    </row>
    <row r="112" spans="6:6">
      <c r="F112" s="340" t="str">
        <f>'14 Pers.'!$X116</f>
        <v xml:space="preserve">(90) 0+04=04 X </v>
      </c>
    </row>
    <row r="113" spans="6:6">
      <c r="F113" s="340" t="str">
        <f>'14 Pers.'!$X117</f>
        <v xml:space="preserve">(90) 0+05=05 X </v>
      </c>
    </row>
    <row r="114" spans="6:6">
      <c r="F114" s="340" t="str">
        <f>'14 Pers.'!$X118</f>
        <v xml:space="preserve">(90) 0+06=06 X </v>
      </c>
    </row>
    <row r="115" spans="6:6">
      <c r="F115" s="340" t="str">
        <f>'14 Pers.'!$X119</f>
        <v xml:space="preserve">(90) 0+07=07 X </v>
      </c>
    </row>
    <row r="116" spans="6:6">
      <c r="F116" s="340" t="str">
        <f>'14 Pers.'!$X120</f>
        <v xml:space="preserve">(90) 0+08=08 X </v>
      </c>
    </row>
    <row r="117" spans="6:6">
      <c r="F117" s="340" t="str">
        <f>'14 Pers.'!$X121</f>
        <v xml:space="preserve">(90) 0+09=09 X </v>
      </c>
    </row>
    <row r="118" spans="6:6">
      <c r="F118" s="340" t="str">
        <f>'14 Pers.'!$X122</f>
        <v xml:space="preserve">(90) 0+10=10 X </v>
      </c>
    </row>
    <row r="119" spans="6:6">
      <c r="F119" s="340" t="str">
        <f>'14 Pers.'!$X123</f>
        <v xml:space="preserve">(90) 0+11=11 X </v>
      </c>
    </row>
    <row r="120" spans="6:6">
      <c r="F120" s="340" t="str">
        <f>'14 Pers.'!$X124</f>
        <v xml:space="preserve">(90) 0+12=12 X </v>
      </c>
    </row>
    <row r="121" spans="6:6">
      <c r="F121" s="340" t="str">
        <f>'14 Pers.'!$X125</f>
        <v xml:space="preserve">(90) 0+13=13 X </v>
      </c>
    </row>
    <row r="122" spans="6:6">
      <c r="F122" s="340" t="str">
        <f>'14 Pers.'!$X126</f>
        <v xml:space="preserve">(90) 0+14=14 X </v>
      </c>
    </row>
    <row r="123" spans="6:6">
      <c r="F123" s="340" t="str">
        <f>'14 Pers.'!$X127</f>
        <v xml:space="preserve">(90) 0+15=15 X </v>
      </c>
    </row>
    <row r="124" spans="6:6">
      <c r="F124" s="340" t="str">
        <f>'14 Pers.'!$X128</f>
        <v xml:space="preserve">(90) 0+16=16 X </v>
      </c>
    </row>
    <row r="125" spans="6:6">
      <c r="F125" s="340" t="str">
        <f>'14 Pers.'!$X129</f>
        <v xml:space="preserve">(90) 0+17=17 X </v>
      </c>
    </row>
    <row r="126" spans="6:6">
      <c r="F126" s="340" t="str">
        <f>'14 Pers.'!$X130</f>
        <v xml:space="preserve">(90) 0+18=18 X </v>
      </c>
    </row>
    <row r="127" spans="6:6">
      <c r="F127" s="340" t="str">
        <f>'14 Pers.'!$X131</f>
        <v xml:space="preserve">(90) 0+19=19X </v>
      </c>
    </row>
    <row r="128" spans="6:6">
      <c r="F128" s="340" t="str">
        <f>'14 Pers.'!$X132</f>
        <v xml:space="preserve">(90) 0+20=20 X </v>
      </c>
    </row>
    <row r="129" spans="6:6">
      <c r="F129" s="340" t="str">
        <f>'14 Pers.'!$X133</f>
        <v xml:space="preserve">(90) 0+21=21 X </v>
      </c>
    </row>
    <row r="130" spans="6:6">
      <c r="F130" s="340" t="str">
        <f>'14 Pers.'!$X134</f>
        <v xml:space="preserve">(90) 0+22=22 X </v>
      </c>
    </row>
    <row r="131" spans="6:6">
      <c r="F131" s="340" t="str">
        <f>'14 Pers.'!$X135</f>
        <v xml:space="preserve">(90) 0+23=23 X </v>
      </c>
    </row>
    <row r="132" spans="6:6">
      <c r="F132" s="340" t="str">
        <f>'14 Pers.'!$X136</f>
        <v xml:space="preserve">(90) 0+24=24 X </v>
      </c>
    </row>
    <row r="133" spans="6:6">
      <c r="F133" s="340" t="str">
        <f>'14 Pers.'!$X137</f>
        <v xml:space="preserve">(90) 0+25=25 X </v>
      </c>
    </row>
    <row r="134" spans="6:6">
      <c r="F134" s="340" t="str">
        <f>'14 Pers.'!$X138</f>
        <v xml:space="preserve">(90) 0+26=26 X </v>
      </c>
    </row>
    <row r="135" spans="6:6">
      <c r="F135" s="340" t="str">
        <f>'14 Pers.'!$X139</f>
        <v xml:space="preserve">(90) 0+27=27 X </v>
      </c>
    </row>
    <row r="136" spans="6:6">
      <c r="F136" s="340" t="str">
        <f>'14 Pers.'!$X140</f>
        <v xml:space="preserve">(90) 0+28=28 X </v>
      </c>
    </row>
    <row r="137" spans="6:6">
      <c r="F137" s="340" t="str">
        <f>'14 Pers.'!$X141</f>
        <v xml:space="preserve">(90) 0+29=29 X </v>
      </c>
    </row>
    <row r="138" spans="6:6">
      <c r="F138" s="340" t="str">
        <f>'14 Pers.'!$X142</f>
        <v xml:space="preserve">(90) 0+30=30 X </v>
      </c>
    </row>
    <row r="139" spans="6:6">
      <c r="F139" s="340" t="str">
        <f>'14 Pers.'!$X143</f>
        <v xml:space="preserve">(90) 0+31=31 X </v>
      </c>
    </row>
    <row r="140" spans="6:6">
      <c r="F140" s="340" t="str">
        <f>'14 Pers.'!$X144</f>
        <v xml:space="preserve">(90) 0+32=32 X </v>
      </c>
    </row>
    <row r="141" spans="6:6">
      <c r="F141" s="340" t="str">
        <f>'14 Pers.'!$X145</f>
        <v xml:space="preserve">(90) 0+33=33 X </v>
      </c>
    </row>
    <row r="142" spans="6:6">
      <c r="F142" s="340" t="str">
        <f>'14 Pers.'!$X146</f>
        <v xml:space="preserve">(90) 0+34=34 X </v>
      </c>
    </row>
    <row r="143" spans="6:6">
      <c r="F143" s="340" t="str">
        <f>'14 Pers.'!$X147</f>
        <v xml:space="preserve">(90) 0+35=35 X </v>
      </c>
    </row>
    <row r="144" spans="6:6">
      <c r="F144" s="340" t="str">
        <f>'14 Pers.'!$X148</f>
        <v xml:space="preserve">(90) 0+36=36 X </v>
      </c>
    </row>
  </sheetData>
  <sheetProtection password="DEE5" sheet="1" objects="1" scenarios="1"/>
  <pageMargins left="0.511811024" right="0.511811024" top="0.78740157499999996" bottom="0.78740157499999996" header="0.31496062000000002" footer="0.31496062000000002"/>
  <pageSetup paperSize="9" orientation="portrait"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11">
    <tabColor rgb="FF00B0F0"/>
  </sheetPr>
  <dimension ref="A1:AD113"/>
  <sheetViews>
    <sheetView showGridLines="0" zoomScale="85" zoomScaleNormal="85" workbookViewId="0">
      <selection activeCell="D89" sqref="D89"/>
    </sheetView>
  </sheetViews>
  <sheetFormatPr defaultColWidth="9.1796875" defaultRowHeight="12.5"/>
  <cols>
    <col min="1" max="1" width="3" style="55" bestFit="1" customWidth="1"/>
    <col min="2" max="2" width="10.26953125" style="55" bestFit="1" customWidth="1"/>
    <col min="3" max="4" width="9.1796875" style="55"/>
    <col min="5" max="5" width="11.26953125" style="55" bestFit="1" customWidth="1"/>
    <col min="6" max="6" width="10.1796875" style="55" bestFit="1" customWidth="1"/>
    <col min="7" max="7" width="11.26953125" style="55" bestFit="1" customWidth="1"/>
    <col min="8" max="8" width="2.81640625" style="55" customWidth="1"/>
    <col min="9" max="9" width="11.26953125" style="55" bestFit="1" customWidth="1"/>
    <col min="10" max="11" width="9.1796875" style="55"/>
    <col min="12" max="12" width="13.1796875" style="55" customWidth="1"/>
    <col min="13" max="13" width="11.26953125" style="55" bestFit="1" customWidth="1"/>
    <col min="14" max="14" width="1.54296875" style="55" customWidth="1"/>
    <col min="15" max="16" width="16" style="55" bestFit="1" customWidth="1"/>
    <col min="17" max="18" width="11.26953125" style="55" bestFit="1" customWidth="1"/>
    <col min="19" max="19" width="2.453125" style="55" customWidth="1"/>
    <col min="20" max="20" width="18.26953125" style="55" bestFit="1" customWidth="1"/>
    <col min="21" max="21" width="13.1796875" style="55" customWidth="1"/>
    <col min="22" max="22" width="12.81640625" style="55" bestFit="1" customWidth="1"/>
    <col min="23" max="23" width="11.54296875" style="55" bestFit="1" customWidth="1"/>
    <col min="24" max="24" width="2" style="55" customWidth="1"/>
    <col min="25" max="25" width="19.453125" style="55" bestFit="1" customWidth="1"/>
    <col min="26" max="26" width="12.81640625" style="55" bestFit="1" customWidth="1"/>
    <col min="27" max="16384" width="9.1796875" style="55"/>
  </cols>
  <sheetData>
    <row r="1" spans="1:26" ht="13" thickBot="1">
      <c r="L1" s="55" t="s">
        <v>832</v>
      </c>
      <c r="M1" s="90"/>
      <c r="T1" s="2431" t="s">
        <v>256</v>
      </c>
      <c r="U1" s="2432"/>
      <c r="Y1" s="2431" t="s">
        <v>833</v>
      </c>
      <c r="Z1" s="2432"/>
    </row>
    <row r="2" spans="1:26" ht="13" thickBot="1">
      <c r="A2" s="2438" t="s">
        <v>834</v>
      </c>
      <c r="B2" s="2439"/>
      <c r="C2" s="2439"/>
      <c r="D2" s="2439"/>
      <c r="E2" s="2439"/>
      <c r="F2" s="2439"/>
      <c r="G2" s="2440"/>
      <c r="H2" s="58"/>
      <c r="I2" s="89"/>
      <c r="J2" s="88" t="s">
        <v>835</v>
      </c>
      <c r="K2" s="88"/>
      <c r="L2" s="88" t="s">
        <v>836</v>
      </c>
      <c r="M2" s="87"/>
      <c r="N2" s="58"/>
      <c r="O2" s="83" t="s">
        <v>835</v>
      </c>
      <c r="P2" s="83" t="s">
        <v>835</v>
      </c>
      <c r="Q2" s="2443" t="s">
        <v>837</v>
      </c>
      <c r="R2" s="2444"/>
      <c r="T2" s="2441" t="s">
        <v>838</v>
      </c>
      <c r="U2" s="2442"/>
      <c r="V2" s="2443" t="s">
        <v>837</v>
      </c>
      <c r="W2" s="2444"/>
      <c r="Y2" s="2445" t="s">
        <v>839</v>
      </c>
      <c r="Z2" s="2446"/>
    </row>
    <row r="3" spans="1:26" ht="13" thickBot="1">
      <c r="I3" s="86" t="s">
        <v>840</v>
      </c>
      <c r="J3" s="85" t="s">
        <v>841</v>
      </c>
      <c r="K3" s="85" t="s">
        <v>842</v>
      </c>
      <c r="L3" s="86"/>
      <c r="M3" s="85" t="s">
        <v>843</v>
      </c>
      <c r="O3" s="84" t="s">
        <v>844</v>
      </c>
      <c r="P3" s="83" t="s">
        <v>845</v>
      </c>
      <c r="Q3" s="81" t="s">
        <v>261</v>
      </c>
      <c r="R3" s="81" t="s">
        <v>846</v>
      </c>
      <c r="T3" s="80" t="s">
        <v>847</v>
      </c>
      <c r="U3" s="79" t="s">
        <v>848</v>
      </c>
      <c r="V3" s="82" t="s">
        <v>261</v>
      </c>
      <c r="W3" s="81" t="s">
        <v>846</v>
      </c>
      <c r="Y3" s="80" t="s">
        <v>849</v>
      </c>
      <c r="Z3" s="79" t="s">
        <v>261</v>
      </c>
    </row>
    <row r="4" spans="1:26">
      <c r="A4" s="75">
        <v>1</v>
      </c>
      <c r="B4" s="72">
        <f>'3Orçto'!D6</f>
        <v>26500</v>
      </c>
      <c r="C4" s="71">
        <v>0.01</v>
      </c>
      <c r="D4" s="70">
        <f>D5+(D5*C4)</f>
        <v>977.77261462205695</v>
      </c>
      <c r="E4" s="74">
        <f t="shared" ref="E4:E39" si="0">B4*A4</f>
        <v>26500</v>
      </c>
      <c r="F4" s="69">
        <f t="shared" ref="F4:F39" si="1">($E$5/D4)*1000</f>
        <v>27102.415841584159</v>
      </c>
      <c r="G4" s="68">
        <f t="shared" ref="G4:G39" si="2">F4/A4</f>
        <v>27102.415841584159</v>
      </c>
      <c r="H4" s="73"/>
      <c r="I4" s="72">
        <f t="shared" ref="I4:I39" si="3">B4</f>
        <v>26500</v>
      </c>
      <c r="J4" s="71">
        <v>0.01</v>
      </c>
      <c r="K4" s="70">
        <f>K5+(K5*J4)</f>
        <v>972.0698350368616</v>
      </c>
      <c r="L4" s="69">
        <f t="shared" ref="L4:L39" si="4">($E$5/K4)*1000</f>
        <v>27261.415841584159</v>
      </c>
      <c r="M4" s="68">
        <f t="shared" ref="M4:M39" si="5">L4/A4</f>
        <v>27261.415841584159</v>
      </c>
      <c r="O4" s="61">
        <f t="shared" ref="O4:O39" ca="1" si="6">SUM(M4*fator)+M4</f>
        <v>27261.415841584159</v>
      </c>
      <c r="P4" s="67">
        <f t="shared" ref="P4:P39" ca="1" si="7">O4*A4</f>
        <v>27261.415841584159</v>
      </c>
      <c r="Q4" s="63">
        <f t="shared" ref="Q4:Q39" ca="1" si="8">P4-$I$4</f>
        <v>761.41584158415935</v>
      </c>
      <c r="R4" s="63">
        <f t="shared" ref="R4:R39" ca="1" si="9">Q4/A4</f>
        <v>761.41584158415935</v>
      </c>
      <c r="S4" s="66"/>
      <c r="T4" s="65">
        <f t="shared" ref="T4:T39" ca="1" si="10">SUM(O4*fator)+O4</f>
        <v>27261.415841584159</v>
      </c>
      <c r="U4" s="78">
        <f ca="1">T4</f>
        <v>27261.415841584159</v>
      </c>
      <c r="V4" s="63">
        <f t="shared" ref="V4:V39" ca="1" si="11">U4-$I$4</f>
        <v>761.41584158415935</v>
      </c>
      <c r="W4" s="63">
        <f ca="1">V4</f>
        <v>761.41584158415935</v>
      </c>
      <c r="Y4" s="77">
        <f>I4</f>
        <v>26500</v>
      </c>
      <c r="Z4" s="76">
        <f>Y4</f>
        <v>26500</v>
      </c>
    </row>
    <row r="5" spans="1:26">
      <c r="A5" s="75">
        <v>2</v>
      </c>
      <c r="B5" s="72">
        <f t="shared" ref="B5:B39" si="12">$B$4/A5</f>
        <v>13250</v>
      </c>
      <c r="C5" s="71">
        <v>3.1908302354399121E-2</v>
      </c>
      <c r="D5" s="70">
        <v>968.0916976456009</v>
      </c>
      <c r="E5" s="74">
        <f t="shared" si="0"/>
        <v>26500</v>
      </c>
      <c r="F5" s="69">
        <f t="shared" si="1"/>
        <v>27373.440000000002</v>
      </c>
      <c r="G5" s="68">
        <f t="shared" si="2"/>
        <v>13686.720000000001</v>
      </c>
      <c r="H5" s="73"/>
      <c r="I5" s="72">
        <f t="shared" si="3"/>
        <v>13250</v>
      </c>
      <c r="J5" s="71">
        <v>3.7554618775384574E-2</v>
      </c>
      <c r="K5" s="70">
        <v>962.4453812246154</v>
      </c>
      <c r="L5" s="69">
        <f t="shared" si="4"/>
        <v>27534.030000000002</v>
      </c>
      <c r="M5" s="68">
        <f t="shared" si="5"/>
        <v>13767.015000000001</v>
      </c>
      <c r="O5" s="61">
        <f t="shared" ca="1" si="6"/>
        <v>13767.015000000001</v>
      </c>
      <c r="P5" s="67">
        <f t="shared" ca="1" si="7"/>
        <v>27534.030000000002</v>
      </c>
      <c r="Q5" s="63">
        <f t="shared" ca="1" si="8"/>
        <v>1034.0300000000025</v>
      </c>
      <c r="R5" s="63">
        <f t="shared" ca="1" si="9"/>
        <v>517.01500000000124</v>
      </c>
      <c r="S5" s="66"/>
      <c r="T5" s="65">
        <f t="shared" ca="1" si="10"/>
        <v>13767.015000000001</v>
      </c>
      <c r="U5" s="64">
        <f t="shared" ref="U5:U39" ca="1" si="13">T5*A5</f>
        <v>27534.030000000002</v>
      </c>
      <c r="V5" s="63">
        <f t="shared" ca="1" si="11"/>
        <v>1034.0300000000025</v>
      </c>
      <c r="W5" s="63">
        <f t="shared" ref="W5:W39" ca="1" si="14">V5/A5</f>
        <v>517.01500000000124</v>
      </c>
      <c r="X5" s="66"/>
      <c r="Y5" s="62">
        <f t="shared" ref="Y5:Y39" ca="1" si="15">Z5/A5</f>
        <v>13508.5075</v>
      </c>
      <c r="Z5" s="61">
        <f t="shared" ref="Z5:Z39" ca="1" si="16">U5-W5</f>
        <v>27017.014999999999</v>
      </c>
    </row>
    <row r="6" spans="1:26">
      <c r="A6" s="75">
        <v>3</v>
      </c>
      <c r="B6" s="72">
        <f t="shared" si="12"/>
        <v>8833.3333333333339</v>
      </c>
      <c r="C6" s="71">
        <v>4.2255679423821024E-2</v>
      </c>
      <c r="D6" s="70">
        <v>957.74432057617901</v>
      </c>
      <c r="E6" s="74">
        <f t="shared" si="0"/>
        <v>26500</v>
      </c>
      <c r="F6" s="69">
        <f t="shared" si="1"/>
        <v>27669.18</v>
      </c>
      <c r="G6" s="68">
        <f t="shared" si="2"/>
        <v>9223.06</v>
      </c>
      <c r="H6" s="73"/>
      <c r="I6" s="72">
        <f t="shared" si="3"/>
        <v>8833.3333333333339</v>
      </c>
      <c r="J6" s="71">
        <v>4.965550011879305E-2</v>
      </c>
      <c r="K6" s="70">
        <v>950.34449988120696</v>
      </c>
      <c r="L6" s="69">
        <f t="shared" si="4"/>
        <v>27884.625</v>
      </c>
      <c r="M6" s="68">
        <f t="shared" si="5"/>
        <v>9294.875</v>
      </c>
      <c r="O6" s="61">
        <f t="shared" ca="1" si="6"/>
        <v>9294.875</v>
      </c>
      <c r="P6" s="67">
        <f t="shared" ca="1" si="7"/>
        <v>27884.625</v>
      </c>
      <c r="Q6" s="63">
        <f t="shared" ca="1" si="8"/>
        <v>1384.625</v>
      </c>
      <c r="R6" s="63">
        <f t="shared" ca="1" si="9"/>
        <v>461.54166666666669</v>
      </c>
      <c r="S6" s="66"/>
      <c r="T6" s="65">
        <f t="shared" ca="1" si="10"/>
        <v>9294.875</v>
      </c>
      <c r="U6" s="64">
        <f t="shared" ca="1" si="13"/>
        <v>27884.625</v>
      </c>
      <c r="V6" s="63">
        <f t="shared" ca="1" si="11"/>
        <v>1384.625</v>
      </c>
      <c r="W6" s="63">
        <f t="shared" ca="1" si="14"/>
        <v>461.54166666666669</v>
      </c>
      <c r="Y6" s="62">
        <f t="shared" ca="1" si="15"/>
        <v>9141.0277777777774</v>
      </c>
      <c r="Z6" s="61">
        <f t="shared" ca="1" si="16"/>
        <v>27423.083333333332</v>
      </c>
    </row>
    <row r="7" spans="1:26">
      <c r="A7" s="75">
        <v>4</v>
      </c>
      <c r="B7" s="72">
        <f t="shared" si="12"/>
        <v>6625</v>
      </c>
      <c r="C7" s="71">
        <v>5.2456033959975779E-2</v>
      </c>
      <c r="D7" s="70">
        <v>947.54396604002397</v>
      </c>
      <c r="E7" s="74">
        <f t="shared" si="0"/>
        <v>26500</v>
      </c>
      <c r="F7" s="69">
        <f t="shared" si="1"/>
        <v>27967.040000000008</v>
      </c>
      <c r="G7" s="68">
        <f t="shared" si="2"/>
        <v>6991.760000000002</v>
      </c>
      <c r="H7" s="73"/>
      <c r="I7" s="72">
        <f t="shared" si="3"/>
        <v>6625</v>
      </c>
      <c r="J7" s="71">
        <v>6.1526333571080061E-2</v>
      </c>
      <c r="K7" s="70">
        <v>938.47366642891996</v>
      </c>
      <c r="L7" s="69">
        <f t="shared" si="4"/>
        <v>28237.340000000004</v>
      </c>
      <c r="M7" s="68">
        <f t="shared" si="5"/>
        <v>7059.3350000000009</v>
      </c>
      <c r="O7" s="61">
        <f t="shared" ca="1" si="6"/>
        <v>7059.3350000000009</v>
      </c>
      <c r="P7" s="67">
        <f t="shared" ca="1" si="7"/>
        <v>28237.340000000004</v>
      </c>
      <c r="Q7" s="63">
        <f t="shared" ca="1" si="8"/>
        <v>1737.3400000000038</v>
      </c>
      <c r="R7" s="63">
        <f t="shared" ca="1" si="9"/>
        <v>434.33500000000095</v>
      </c>
      <c r="S7" s="66"/>
      <c r="T7" s="65">
        <f t="shared" ca="1" si="10"/>
        <v>7059.3350000000009</v>
      </c>
      <c r="U7" s="64">
        <f t="shared" ca="1" si="13"/>
        <v>28237.340000000004</v>
      </c>
      <c r="V7" s="63">
        <f t="shared" ca="1" si="11"/>
        <v>1737.3400000000038</v>
      </c>
      <c r="W7" s="63">
        <f t="shared" ca="1" si="14"/>
        <v>434.33500000000095</v>
      </c>
      <c r="Y7" s="62">
        <f t="shared" ca="1" si="15"/>
        <v>6950.7512500000012</v>
      </c>
      <c r="Z7" s="61">
        <f t="shared" ca="1" si="16"/>
        <v>27803.005000000005</v>
      </c>
    </row>
    <row r="8" spans="1:26">
      <c r="A8" s="75">
        <v>5</v>
      </c>
      <c r="B8" s="72">
        <f t="shared" si="12"/>
        <v>5300</v>
      </c>
      <c r="C8" s="71">
        <v>6.2485351333614547E-2</v>
      </c>
      <c r="D8" s="70">
        <v>937.51464866638548</v>
      </c>
      <c r="E8" s="74">
        <f t="shared" si="0"/>
        <v>26500</v>
      </c>
      <c r="F8" s="69">
        <f t="shared" si="1"/>
        <v>28266.224999999999</v>
      </c>
      <c r="G8" s="68">
        <f t="shared" si="2"/>
        <v>5653.2449999999999</v>
      </c>
      <c r="H8" s="73"/>
      <c r="I8" s="72">
        <f t="shared" si="3"/>
        <v>5300</v>
      </c>
      <c r="J8" s="71">
        <v>7.3215940685820158E-2</v>
      </c>
      <c r="K8" s="70">
        <v>926.78405931417979</v>
      </c>
      <c r="L8" s="69">
        <f t="shared" si="4"/>
        <v>28593.5</v>
      </c>
      <c r="M8" s="68">
        <f t="shared" si="5"/>
        <v>5718.7</v>
      </c>
      <c r="O8" s="61">
        <f t="shared" ca="1" si="6"/>
        <v>5718.7</v>
      </c>
      <c r="P8" s="67">
        <f t="shared" ca="1" si="7"/>
        <v>28593.5</v>
      </c>
      <c r="Q8" s="63">
        <f t="shared" ca="1" si="8"/>
        <v>2093.5</v>
      </c>
      <c r="R8" s="63">
        <f t="shared" ca="1" si="9"/>
        <v>418.7</v>
      </c>
      <c r="S8" s="66"/>
      <c r="T8" s="65">
        <f t="shared" ca="1" si="10"/>
        <v>5718.7</v>
      </c>
      <c r="U8" s="64">
        <f t="shared" ca="1" si="13"/>
        <v>28593.5</v>
      </c>
      <c r="V8" s="63">
        <f t="shared" ca="1" si="11"/>
        <v>2093.5</v>
      </c>
      <c r="W8" s="63">
        <f t="shared" ca="1" si="14"/>
        <v>418.7</v>
      </c>
      <c r="Y8" s="62">
        <f t="shared" ca="1" si="15"/>
        <v>5634.96</v>
      </c>
      <c r="Z8" s="61">
        <f t="shared" ca="1" si="16"/>
        <v>28174.799999999999</v>
      </c>
    </row>
    <row r="9" spans="1:26">
      <c r="A9" s="75">
        <v>6</v>
      </c>
      <c r="B9" s="72">
        <f t="shared" si="12"/>
        <v>4416.666666666667</v>
      </c>
      <c r="C9" s="71">
        <v>7.2373425353889576E-2</v>
      </c>
      <c r="D9" s="70">
        <v>927.62657464611038</v>
      </c>
      <c r="E9" s="74">
        <f t="shared" si="0"/>
        <v>26500</v>
      </c>
      <c r="F9" s="69">
        <f t="shared" si="1"/>
        <v>28567.530000000002</v>
      </c>
      <c r="G9" s="68">
        <f t="shared" si="2"/>
        <v>4761.2550000000001</v>
      </c>
      <c r="H9" s="73"/>
      <c r="I9" s="72">
        <f t="shared" si="3"/>
        <v>4416.666666666667</v>
      </c>
      <c r="J9" s="71">
        <v>8.4751967783269322E-2</v>
      </c>
      <c r="K9" s="70">
        <v>915.24803221673073</v>
      </c>
      <c r="L9" s="69">
        <f t="shared" si="4"/>
        <v>28953.9</v>
      </c>
      <c r="M9" s="68">
        <f t="shared" si="5"/>
        <v>4825.6500000000005</v>
      </c>
      <c r="O9" s="61">
        <f t="shared" ca="1" si="6"/>
        <v>4825.6500000000005</v>
      </c>
      <c r="P9" s="67">
        <f t="shared" ca="1" si="7"/>
        <v>28953.9</v>
      </c>
      <c r="Q9" s="63">
        <f t="shared" ca="1" si="8"/>
        <v>2453.9000000000015</v>
      </c>
      <c r="R9" s="63">
        <f t="shared" ca="1" si="9"/>
        <v>408.98333333333358</v>
      </c>
      <c r="S9" s="66"/>
      <c r="T9" s="65">
        <f t="shared" ca="1" si="10"/>
        <v>4825.6500000000005</v>
      </c>
      <c r="U9" s="64">
        <f t="shared" ca="1" si="13"/>
        <v>28953.9</v>
      </c>
      <c r="V9" s="63">
        <f t="shared" ca="1" si="11"/>
        <v>2453.9000000000015</v>
      </c>
      <c r="W9" s="63">
        <f t="shared" ca="1" si="14"/>
        <v>408.98333333333358</v>
      </c>
      <c r="Y9" s="62">
        <f t="shared" ca="1" si="15"/>
        <v>4757.4861111111113</v>
      </c>
      <c r="Z9" s="61">
        <f t="shared" ca="1" si="16"/>
        <v>28544.916666666668</v>
      </c>
    </row>
    <row r="10" spans="1:26">
      <c r="A10" s="75">
        <v>7</v>
      </c>
      <c r="B10" s="72">
        <f t="shared" si="12"/>
        <v>3785.7142857142858</v>
      </c>
      <c r="C10" s="71">
        <v>8.213092484488016E-2</v>
      </c>
      <c r="D10" s="70">
        <v>917.86907515511984</v>
      </c>
      <c r="E10" s="74">
        <f t="shared" si="0"/>
        <v>26500</v>
      </c>
      <c r="F10" s="69">
        <f t="shared" si="1"/>
        <v>28871.22</v>
      </c>
      <c r="G10" s="68">
        <f t="shared" si="2"/>
        <v>4124.46</v>
      </c>
      <c r="H10" s="73"/>
      <c r="I10" s="72">
        <f t="shared" si="3"/>
        <v>3785.7142857142858</v>
      </c>
      <c r="J10" s="71">
        <v>9.606971110387974E-2</v>
      </c>
      <c r="K10" s="70">
        <v>903.93028889612026</v>
      </c>
      <c r="L10" s="69">
        <f t="shared" si="4"/>
        <v>29316.420000000002</v>
      </c>
      <c r="M10" s="68">
        <f t="shared" si="5"/>
        <v>4188.0600000000004</v>
      </c>
      <c r="O10" s="61">
        <f t="shared" ca="1" si="6"/>
        <v>4188.0600000000004</v>
      </c>
      <c r="P10" s="67">
        <f t="shared" ca="1" si="7"/>
        <v>29316.420000000002</v>
      </c>
      <c r="Q10" s="63">
        <f t="shared" ca="1" si="8"/>
        <v>2816.4200000000019</v>
      </c>
      <c r="R10" s="63">
        <f t="shared" ca="1" si="9"/>
        <v>402.34571428571456</v>
      </c>
      <c r="S10" s="66"/>
      <c r="T10" s="65">
        <f t="shared" ca="1" si="10"/>
        <v>4188.0600000000004</v>
      </c>
      <c r="U10" s="64">
        <f t="shared" ca="1" si="13"/>
        <v>29316.420000000002</v>
      </c>
      <c r="V10" s="63">
        <f t="shared" ca="1" si="11"/>
        <v>2816.4200000000019</v>
      </c>
      <c r="W10" s="63">
        <f t="shared" ca="1" si="14"/>
        <v>402.34571428571456</v>
      </c>
      <c r="Y10" s="62">
        <f t="shared" ca="1" si="15"/>
        <v>4130.5820408163263</v>
      </c>
      <c r="Z10" s="61">
        <f t="shared" ca="1" si="16"/>
        <v>28914.074285714287</v>
      </c>
    </row>
    <row r="11" spans="1:26">
      <c r="A11" s="75">
        <v>8</v>
      </c>
      <c r="B11" s="72">
        <f t="shared" si="12"/>
        <v>3312.5</v>
      </c>
      <c r="C11" s="71">
        <v>9.176778318680523E-2</v>
      </c>
      <c r="D11" s="70">
        <v>908.23221681319478</v>
      </c>
      <c r="E11" s="74">
        <f t="shared" si="0"/>
        <v>26500</v>
      </c>
      <c r="F11" s="69">
        <f t="shared" si="1"/>
        <v>29177.56</v>
      </c>
      <c r="G11" s="68">
        <f t="shared" si="2"/>
        <v>3647.1950000000002</v>
      </c>
      <c r="H11" s="73"/>
      <c r="I11" s="72">
        <f t="shared" si="3"/>
        <v>3312.5</v>
      </c>
      <c r="J11" s="71">
        <v>0.10714285714285721</v>
      </c>
      <c r="K11" s="70">
        <v>892.85714285714278</v>
      </c>
      <c r="L11" s="69">
        <f t="shared" si="4"/>
        <v>29680.000000000004</v>
      </c>
      <c r="M11" s="68">
        <f t="shared" si="5"/>
        <v>3710.0000000000005</v>
      </c>
      <c r="O11" s="61">
        <f t="shared" ca="1" si="6"/>
        <v>3710.0000000000005</v>
      </c>
      <c r="P11" s="67">
        <f t="shared" ca="1" si="7"/>
        <v>29680.000000000004</v>
      </c>
      <c r="Q11" s="63">
        <f t="shared" ca="1" si="8"/>
        <v>3180.0000000000036</v>
      </c>
      <c r="R11" s="63">
        <f t="shared" ca="1" si="9"/>
        <v>397.50000000000045</v>
      </c>
      <c r="S11" s="66"/>
      <c r="T11" s="65">
        <f t="shared" ca="1" si="10"/>
        <v>3710.0000000000005</v>
      </c>
      <c r="U11" s="64">
        <f t="shared" ca="1" si="13"/>
        <v>29680.000000000004</v>
      </c>
      <c r="V11" s="63">
        <f t="shared" ca="1" si="11"/>
        <v>3180.0000000000036</v>
      </c>
      <c r="W11" s="63">
        <f t="shared" ca="1" si="14"/>
        <v>397.50000000000045</v>
      </c>
      <c r="Y11" s="62">
        <f t="shared" ca="1" si="15"/>
        <v>3660.3125000000005</v>
      </c>
      <c r="Z11" s="61">
        <f t="shared" ca="1" si="16"/>
        <v>29282.500000000004</v>
      </c>
    </row>
    <row r="12" spans="1:26">
      <c r="A12" s="75">
        <v>9</v>
      </c>
      <c r="B12" s="72">
        <f t="shared" si="12"/>
        <v>2944.4444444444443</v>
      </c>
      <c r="C12" s="71">
        <v>0.10126093091392774</v>
      </c>
      <c r="D12" s="70">
        <v>898.73906908607228</v>
      </c>
      <c r="E12" s="74">
        <f t="shared" si="0"/>
        <v>26500</v>
      </c>
      <c r="F12" s="69">
        <f t="shared" si="1"/>
        <v>29485.754999999997</v>
      </c>
      <c r="G12" s="68">
        <f t="shared" si="2"/>
        <v>3276.1949999999997</v>
      </c>
      <c r="H12" s="73"/>
      <c r="I12" s="72">
        <f t="shared" si="3"/>
        <v>2944.4444444444443</v>
      </c>
      <c r="J12" s="71">
        <v>0.11809579243502566</v>
      </c>
      <c r="K12" s="70">
        <v>881.90420756497429</v>
      </c>
      <c r="L12" s="69">
        <f t="shared" si="4"/>
        <v>30048.615000000002</v>
      </c>
      <c r="M12" s="68">
        <f t="shared" si="5"/>
        <v>3338.7350000000001</v>
      </c>
      <c r="O12" s="61">
        <f t="shared" ca="1" si="6"/>
        <v>3338.7350000000001</v>
      </c>
      <c r="P12" s="67">
        <f t="shared" ca="1" si="7"/>
        <v>30048.615000000002</v>
      </c>
      <c r="Q12" s="63">
        <f t="shared" ca="1" si="8"/>
        <v>3548.6150000000016</v>
      </c>
      <c r="R12" s="63">
        <f t="shared" ca="1" si="9"/>
        <v>394.29055555555573</v>
      </c>
      <c r="S12" s="66"/>
      <c r="T12" s="65">
        <f t="shared" ca="1" si="10"/>
        <v>3338.7350000000001</v>
      </c>
      <c r="U12" s="64">
        <f t="shared" ca="1" si="13"/>
        <v>30048.615000000002</v>
      </c>
      <c r="V12" s="63">
        <f t="shared" ca="1" si="11"/>
        <v>3548.6150000000016</v>
      </c>
      <c r="W12" s="63">
        <f t="shared" ca="1" si="14"/>
        <v>394.29055555555573</v>
      </c>
      <c r="Y12" s="62">
        <f t="shared" ca="1" si="15"/>
        <v>3294.9249382716052</v>
      </c>
      <c r="Z12" s="61">
        <f t="shared" ca="1" si="16"/>
        <v>29654.324444444446</v>
      </c>
    </row>
    <row r="13" spans="1:26">
      <c r="A13" s="75">
        <v>10</v>
      </c>
      <c r="B13" s="72">
        <f t="shared" si="12"/>
        <v>2650</v>
      </c>
      <c r="C13" s="71">
        <v>0.11063678406261113</v>
      </c>
      <c r="D13" s="70">
        <v>889.36321593738887</v>
      </c>
      <c r="E13" s="74">
        <f t="shared" si="0"/>
        <v>26500</v>
      </c>
      <c r="F13" s="69">
        <f t="shared" si="1"/>
        <v>29796.6</v>
      </c>
      <c r="G13" s="68">
        <f t="shared" si="2"/>
        <v>2979.66</v>
      </c>
      <c r="H13" s="73"/>
      <c r="I13" s="72">
        <f t="shared" si="3"/>
        <v>2650</v>
      </c>
      <c r="J13" s="71">
        <v>0.12884397595609376</v>
      </c>
      <c r="K13" s="70">
        <v>871.1560240439062</v>
      </c>
      <c r="L13" s="69">
        <f t="shared" si="4"/>
        <v>30419.350000000002</v>
      </c>
      <c r="M13" s="68">
        <f t="shared" si="5"/>
        <v>3041.9350000000004</v>
      </c>
      <c r="O13" s="61">
        <f t="shared" ca="1" si="6"/>
        <v>3041.9350000000004</v>
      </c>
      <c r="P13" s="67">
        <f t="shared" ca="1" si="7"/>
        <v>30419.350000000006</v>
      </c>
      <c r="Q13" s="63">
        <f t="shared" ca="1" si="8"/>
        <v>3919.3500000000058</v>
      </c>
      <c r="R13" s="63">
        <f t="shared" ca="1" si="9"/>
        <v>391.93500000000057</v>
      </c>
      <c r="S13" s="66"/>
      <c r="T13" s="65">
        <f t="shared" ca="1" si="10"/>
        <v>3041.9350000000004</v>
      </c>
      <c r="U13" s="64">
        <f t="shared" ca="1" si="13"/>
        <v>30419.350000000006</v>
      </c>
      <c r="V13" s="63">
        <f t="shared" ca="1" si="11"/>
        <v>3919.3500000000058</v>
      </c>
      <c r="W13" s="63">
        <f t="shared" ca="1" si="14"/>
        <v>391.93500000000057</v>
      </c>
      <c r="Y13" s="62">
        <f t="shared" ca="1" si="15"/>
        <v>3002.7415000000005</v>
      </c>
      <c r="Z13" s="61">
        <f t="shared" ca="1" si="16"/>
        <v>30027.415000000005</v>
      </c>
    </row>
    <row r="14" spans="1:26">
      <c r="A14" s="75">
        <v>11</v>
      </c>
      <c r="B14" s="72">
        <f t="shared" si="12"/>
        <v>2409.090909090909</v>
      </c>
      <c r="C14" s="71">
        <v>0.11986551545076096</v>
      </c>
      <c r="D14" s="70">
        <v>880.134484549239</v>
      </c>
      <c r="E14" s="74">
        <f t="shared" si="0"/>
        <v>26500</v>
      </c>
      <c r="F14" s="69">
        <f t="shared" si="1"/>
        <v>30109.035000000007</v>
      </c>
      <c r="G14" s="68">
        <f t="shared" si="2"/>
        <v>2737.1850000000009</v>
      </c>
      <c r="H14" s="73"/>
      <c r="I14" s="72">
        <f t="shared" si="3"/>
        <v>2409.090909090909</v>
      </c>
      <c r="J14" s="71">
        <v>0.13944442532098722</v>
      </c>
      <c r="K14" s="70">
        <v>860.55557467901281</v>
      </c>
      <c r="L14" s="69">
        <f t="shared" si="4"/>
        <v>30794.059999999998</v>
      </c>
      <c r="M14" s="68">
        <f t="shared" si="5"/>
        <v>2799.4599999999996</v>
      </c>
      <c r="O14" s="61">
        <f t="shared" ca="1" si="6"/>
        <v>2799.4599999999996</v>
      </c>
      <c r="P14" s="67">
        <f t="shared" ca="1" si="7"/>
        <v>30794.059999999994</v>
      </c>
      <c r="Q14" s="63">
        <f t="shared" ca="1" si="8"/>
        <v>4294.059999999994</v>
      </c>
      <c r="R14" s="63">
        <f t="shared" ca="1" si="9"/>
        <v>390.36909090909035</v>
      </c>
      <c r="S14" s="66"/>
      <c r="T14" s="65">
        <f t="shared" ca="1" si="10"/>
        <v>2799.4599999999996</v>
      </c>
      <c r="U14" s="64">
        <f t="shared" ca="1" si="13"/>
        <v>30794.059999999994</v>
      </c>
      <c r="V14" s="63">
        <f t="shared" ca="1" si="11"/>
        <v>4294.059999999994</v>
      </c>
      <c r="W14" s="63">
        <f t="shared" ca="1" si="14"/>
        <v>390.36909090909035</v>
      </c>
      <c r="Y14" s="62">
        <f t="shared" ca="1" si="15"/>
        <v>2763.9719008264456</v>
      </c>
      <c r="Z14" s="61">
        <f t="shared" ca="1" si="16"/>
        <v>30403.690909090903</v>
      </c>
    </row>
    <row r="15" spans="1:26">
      <c r="A15" s="75">
        <v>12</v>
      </c>
      <c r="B15" s="72">
        <f t="shared" si="12"/>
        <v>2208.3333333333335</v>
      </c>
      <c r="C15" s="71">
        <v>0.128950210794049</v>
      </c>
      <c r="D15" s="70">
        <v>871.04978920595101</v>
      </c>
      <c r="E15" s="74">
        <f t="shared" si="0"/>
        <v>26500</v>
      </c>
      <c r="F15" s="69">
        <f t="shared" si="1"/>
        <v>30423.06</v>
      </c>
      <c r="G15" s="68">
        <f t="shared" si="2"/>
        <v>2535.2550000000001</v>
      </c>
      <c r="H15" s="73"/>
      <c r="I15" s="72">
        <f t="shared" si="3"/>
        <v>2208.3333333333335</v>
      </c>
      <c r="J15" s="71">
        <v>0.14983336733999864</v>
      </c>
      <c r="K15" s="70">
        <v>850.16663266000137</v>
      </c>
      <c r="L15" s="69">
        <f t="shared" si="4"/>
        <v>31170.359999999997</v>
      </c>
      <c r="M15" s="68">
        <f t="shared" si="5"/>
        <v>2597.5299999999997</v>
      </c>
      <c r="O15" s="61">
        <f t="shared" ca="1" si="6"/>
        <v>2597.5299999999997</v>
      </c>
      <c r="P15" s="67">
        <f t="shared" ca="1" si="7"/>
        <v>31170.359999999997</v>
      </c>
      <c r="Q15" s="63">
        <f t="shared" ca="1" si="8"/>
        <v>4670.3599999999969</v>
      </c>
      <c r="R15" s="63">
        <f t="shared" ca="1" si="9"/>
        <v>389.19666666666643</v>
      </c>
      <c r="S15" s="66"/>
      <c r="T15" s="65">
        <f t="shared" ca="1" si="10"/>
        <v>2597.5299999999997</v>
      </c>
      <c r="U15" s="64">
        <f t="shared" ca="1" si="13"/>
        <v>31170.359999999997</v>
      </c>
      <c r="V15" s="63">
        <f t="shared" ca="1" si="11"/>
        <v>4670.3599999999969</v>
      </c>
      <c r="W15" s="63">
        <f t="shared" ca="1" si="14"/>
        <v>389.19666666666643</v>
      </c>
      <c r="Y15" s="62">
        <f t="shared" ca="1" si="15"/>
        <v>2565.096944444444</v>
      </c>
      <c r="Z15" s="61">
        <f t="shared" ca="1" si="16"/>
        <v>30781.16333333333</v>
      </c>
    </row>
    <row r="16" spans="1:26">
      <c r="A16" s="75">
        <v>13</v>
      </c>
      <c r="B16" s="72">
        <f t="shared" si="12"/>
        <v>2038.4615384615386</v>
      </c>
      <c r="C16" s="71">
        <v>0.13792360278967919</v>
      </c>
      <c r="D16" s="70">
        <v>862.07639721032081</v>
      </c>
      <c r="E16" s="74">
        <f t="shared" si="0"/>
        <v>26500</v>
      </c>
      <c r="F16" s="69">
        <f t="shared" si="1"/>
        <v>30739.735000000001</v>
      </c>
      <c r="G16" s="68">
        <f t="shared" si="2"/>
        <v>2364.5950000000003</v>
      </c>
      <c r="H16" s="73"/>
      <c r="I16" s="72">
        <f t="shared" si="3"/>
        <v>2038.4615384615386</v>
      </c>
      <c r="J16" s="71">
        <v>0.16004502158684286</v>
      </c>
      <c r="K16" s="70">
        <v>839.95497841315716</v>
      </c>
      <c r="L16" s="69">
        <f t="shared" si="4"/>
        <v>31549.309999999994</v>
      </c>
      <c r="M16" s="68">
        <f t="shared" si="5"/>
        <v>2426.8699999999994</v>
      </c>
      <c r="O16" s="61">
        <f t="shared" ca="1" si="6"/>
        <v>2426.8699999999994</v>
      </c>
      <c r="P16" s="67">
        <f t="shared" ca="1" si="7"/>
        <v>31549.309999999994</v>
      </c>
      <c r="Q16" s="63">
        <f t="shared" ca="1" si="8"/>
        <v>5049.309999999994</v>
      </c>
      <c r="R16" s="63">
        <f t="shared" ca="1" si="9"/>
        <v>388.4084615384611</v>
      </c>
      <c r="S16" s="66"/>
      <c r="T16" s="65">
        <f t="shared" ca="1" si="10"/>
        <v>2426.8699999999994</v>
      </c>
      <c r="U16" s="64">
        <f t="shared" ca="1" si="13"/>
        <v>31549.309999999994</v>
      </c>
      <c r="V16" s="63">
        <f t="shared" ca="1" si="11"/>
        <v>5049.309999999994</v>
      </c>
      <c r="W16" s="63">
        <f t="shared" ca="1" si="14"/>
        <v>388.4084615384611</v>
      </c>
      <c r="Y16" s="62">
        <f t="shared" ca="1" si="15"/>
        <v>2396.9924260355028</v>
      </c>
      <c r="Z16" s="61">
        <f t="shared" ca="1" si="16"/>
        <v>31160.901538461534</v>
      </c>
    </row>
    <row r="17" spans="1:26">
      <c r="A17" s="75">
        <v>14</v>
      </c>
      <c r="B17" s="72">
        <f t="shared" si="12"/>
        <v>1892.8571428571429</v>
      </c>
      <c r="C17" s="71">
        <v>0.14671399559704423</v>
      </c>
      <c r="D17" s="70">
        <v>853.28600440295577</v>
      </c>
      <c r="E17" s="74">
        <f t="shared" si="0"/>
        <v>26500</v>
      </c>
      <c r="F17" s="69">
        <f t="shared" si="1"/>
        <v>31056.41</v>
      </c>
      <c r="G17" s="68">
        <f t="shared" si="2"/>
        <v>2218.3150000000001</v>
      </c>
      <c r="H17" s="73"/>
      <c r="I17" s="72">
        <f t="shared" si="3"/>
        <v>1892.8571428571429</v>
      </c>
      <c r="J17" s="71">
        <v>0.17011070723165533</v>
      </c>
      <c r="K17" s="70">
        <v>829.88929276834472</v>
      </c>
      <c r="L17" s="69">
        <f t="shared" si="4"/>
        <v>31931.97</v>
      </c>
      <c r="M17" s="68">
        <f t="shared" si="5"/>
        <v>2280.855</v>
      </c>
      <c r="O17" s="61">
        <f t="shared" ca="1" si="6"/>
        <v>2280.855</v>
      </c>
      <c r="P17" s="67">
        <f t="shared" ca="1" si="7"/>
        <v>31931.97</v>
      </c>
      <c r="Q17" s="63">
        <f t="shared" ca="1" si="8"/>
        <v>5431.9700000000012</v>
      </c>
      <c r="R17" s="63">
        <f t="shared" ca="1" si="9"/>
        <v>387.99785714285724</v>
      </c>
      <c r="S17" s="66"/>
      <c r="T17" s="65">
        <f t="shared" ca="1" si="10"/>
        <v>2280.855</v>
      </c>
      <c r="U17" s="64">
        <f t="shared" ca="1" si="13"/>
        <v>31931.97</v>
      </c>
      <c r="V17" s="63">
        <f t="shared" ca="1" si="11"/>
        <v>5431.9700000000012</v>
      </c>
      <c r="W17" s="63">
        <f t="shared" ca="1" si="14"/>
        <v>387.99785714285724</v>
      </c>
      <c r="Y17" s="62">
        <f t="shared" ca="1" si="15"/>
        <v>2253.1408673469386</v>
      </c>
      <c r="Z17" s="61">
        <f t="shared" ca="1" si="16"/>
        <v>31543.972142857143</v>
      </c>
    </row>
    <row r="18" spans="1:26">
      <c r="A18" s="75">
        <v>15</v>
      </c>
      <c r="B18" s="72">
        <f t="shared" si="12"/>
        <v>1766.6666666666667</v>
      </c>
      <c r="C18" s="71">
        <v>0.1554767333840047</v>
      </c>
      <c r="D18" s="70">
        <v>844.52326661599534</v>
      </c>
      <c r="E18" s="74">
        <f t="shared" si="0"/>
        <v>26500</v>
      </c>
      <c r="F18" s="69">
        <f t="shared" si="1"/>
        <v>31378.649999999998</v>
      </c>
      <c r="G18" s="68">
        <f t="shared" si="2"/>
        <v>2091.91</v>
      </c>
      <c r="H18" s="73"/>
      <c r="I18" s="72">
        <f t="shared" si="3"/>
        <v>1766.6666666666667</v>
      </c>
      <c r="J18" s="71">
        <v>0.17999179991799918</v>
      </c>
      <c r="K18" s="70">
        <v>820.00820008200083</v>
      </c>
      <c r="L18" s="69">
        <f t="shared" si="4"/>
        <v>32316.75</v>
      </c>
      <c r="M18" s="68">
        <f t="shared" si="5"/>
        <v>2154.4499999999998</v>
      </c>
      <c r="O18" s="61">
        <f t="shared" ca="1" si="6"/>
        <v>2154.4499999999998</v>
      </c>
      <c r="P18" s="67">
        <f t="shared" ca="1" si="7"/>
        <v>32316.749999999996</v>
      </c>
      <c r="Q18" s="63">
        <f t="shared" ca="1" si="8"/>
        <v>5816.7499999999964</v>
      </c>
      <c r="R18" s="63">
        <f t="shared" ca="1" si="9"/>
        <v>387.78333333333308</v>
      </c>
      <c r="S18" s="66"/>
      <c r="T18" s="65">
        <f t="shared" ca="1" si="10"/>
        <v>2154.4499999999998</v>
      </c>
      <c r="U18" s="64">
        <f t="shared" ca="1" si="13"/>
        <v>32316.749999999996</v>
      </c>
      <c r="V18" s="63">
        <f t="shared" ca="1" si="11"/>
        <v>5816.7499999999964</v>
      </c>
      <c r="W18" s="63">
        <f t="shared" ca="1" si="14"/>
        <v>387.78333333333308</v>
      </c>
      <c r="Y18" s="62">
        <f t="shared" ca="1" si="15"/>
        <v>2128.5977777777775</v>
      </c>
      <c r="Z18" s="61">
        <f t="shared" ca="1" si="16"/>
        <v>31928.966666666664</v>
      </c>
    </row>
    <row r="19" spans="1:26">
      <c r="A19" s="75">
        <v>16</v>
      </c>
      <c r="B19" s="72">
        <f t="shared" si="12"/>
        <v>1656.25</v>
      </c>
      <c r="C19" s="71">
        <v>0.16399143927233806</v>
      </c>
      <c r="D19" s="70">
        <v>836.00856072766192</v>
      </c>
      <c r="E19" s="74">
        <f t="shared" si="0"/>
        <v>26500</v>
      </c>
      <c r="F19" s="69">
        <f t="shared" si="1"/>
        <v>31698.239999999998</v>
      </c>
      <c r="G19" s="68">
        <f t="shared" si="2"/>
        <v>1981.1399999999999</v>
      </c>
      <c r="H19" s="73"/>
      <c r="I19" s="72">
        <f t="shared" si="3"/>
        <v>1656.25</v>
      </c>
      <c r="J19" s="71">
        <v>0.18978480684469801</v>
      </c>
      <c r="K19" s="70">
        <v>810.21519315530202</v>
      </c>
      <c r="L19" s="69">
        <f t="shared" si="4"/>
        <v>32707.360000000001</v>
      </c>
      <c r="M19" s="68">
        <f t="shared" si="5"/>
        <v>2044.21</v>
      </c>
      <c r="O19" s="61">
        <f t="shared" ca="1" si="6"/>
        <v>2044.21</v>
      </c>
      <c r="P19" s="67">
        <f t="shared" ca="1" si="7"/>
        <v>32707.360000000001</v>
      </c>
      <c r="Q19" s="63">
        <f t="shared" ca="1" si="8"/>
        <v>6207.3600000000006</v>
      </c>
      <c r="R19" s="63">
        <f t="shared" ca="1" si="9"/>
        <v>387.96000000000004</v>
      </c>
      <c r="S19" s="66"/>
      <c r="T19" s="65">
        <f t="shared" ca="1" si="10"/>
        <v>2044.21</v>
      </c>
      <c r="U19" s="64">
        <f t="shared" ca="1" si="13"/>
        <v>32707.360000000001</v>
      </c>
      <c r="V19" s="63">
        <f t="shared" ca="1" si="11"/>
        <v>6207.3600000000006</v>
      </c>
      <c r="W19" s="63">
        <f t="shared" ca="1" si="14"/>
        <v>387.96000000000004</v>
      </c>
      <c r="Y19" s="62">
        <f t="shared" ca="1" si="15"/>
        <v>2019.9625000000001</v>
      </c>
      <c r="Z19" s="61">
        <f t="shared" ca="1" si="16"/>
        <v>32319.4</v>
      </c>
    </row>
    <row r="20" spans="1:26">
      <c r="A20" s="75">
        <v>17</v>
      </c>
      <c r="B20" s="72">
        <f t="shared" si="12"/>
        <v>1558.8235294117646</v>
      </c>
      <c r="C20" s="71">
        <v>0.17254846797348844</v>
      </c>
      <c r="D20" s="70">
        <v>827.45153202651159</v>
      </c>
      <c r="E20" s="74">
        <f t="shared" si="0"/>
        <v>26500</v>
      </c>
      <c r="F20" s="69">
        <f t="shared" si="1"/>
        <v>32026.044999999995</v>
      </c>
      <c r="G20" s="68">
        <f t="shared" si="2"/>
        <v>1883.8849999999998</v>
      </c>
      <c r="H20" s="73"/>
      <c r="I20" s="72">
        <f t="shared" si="3"/>
        <v>1558.8235294117646</v>
      </c>
      <c r="J20" s="71">
        <v>0.19935307728644736</v>
      </c>
      <c r="K20" s="70">
        <v>800.64692271355261</v>
      </c>
      <c r="L20" s="69">
        <f t="shared" si="4"/>
        <v>33098.234999999993</v>
      </c>
      <c r="M20" s="68">
        <f t="shared" si="5"/>
        <v>1946.9549999999997</v>
      </c>
      <c r="O20" s="61">
        <f t="shared" ca="1" si="6"/>
        <v>1946.9549999999997</v>
      </c>
      <c r="P20" s="67">
        <f t="shared" ca="1" si="7"/>
        <v>33098.234999999993</v>
      </c>
      <c r="Q20" s="63">
        <f t="shared" ca="1" si="8"/>
        <v>6598.2349999999933</v>
      </c>
      <c r="R20" s="63">
        <f t="shared" ca="1" si="9"/>
        <v>388.13147058823489</v>
      </c>
      <c r="S20" s="66"/>
      <c r="T20" s="65">
        <f t="shared" ca="1" si="10"/>
        <v>1946.9549999999997</v>
      </c>
      <c r="U20" s="64">
        <f t="shared" ca="1" si="13"/>
        <v>33098.234999999993</v>
      </c>
      <c r="V20" s="63">
        <f t="shared" ca="1" si="11"/>
        <v>6598.2349999999933</v>
      </c>
      <c r="W20" s="63">
        <f t="shared" ca="1" si="14"/>
        <v>388.13147058823489</v>
      </c>
      <c r="Y20" s="62">
        <f t="shared" ca="1" si="15"/>
        <v>1924.1237370242211</v>
      </c>
      <c r="Z20" s="61">
        <f t="shared" ca="1" si="16"/>
        <v>32710.103529411757</v>
      </c>
    </row>
    <row r="21" spans="1:26">
      <c r="A21" s="75">
        <v>18</v>
      </c>
      <c r="B21" s="72">
        <f t="shared" si="12"/>
        <v>1472.2222222222222</v>
      </c>
      <c r="C21" s="71">
        <v>0.18083816638815176</v>
      </c>
      <c r="D21" s="70">
        <v>819.16183361184824</v>
      </c>
      <c r="E21" s="74">
        <f t="shared" si="0"/>
        <v>26500</v>
      </c>
      <c r="F21" s="69">
        <f t="shared" si="1"/>
        <v>32350.140000000003</v>
      </c>
      <c r="G21" s="68">
        <f t="shared" si="2"/>
        <v>1797.2300000000002</v>
      </c>
      <c r="H21" s="73"/>
      <c r="I21" s="72">
        <f t="shared" si="3"/>
        <v>1472.2222222222222</v>
      </c>
      <c r="J21" s="71">
        <v>0.20872303723749375</v>
      </c>
      <c r="K21" s="70">
        <v>791.27696276250629</v>
      </c>
      <c r="L21" s="69">
        <f t="shared" si="4"/>
        <v>33490.169999999991</v>
      </c>
      <c r="M21" s="68">
        <f t="shared" si="5"/>
        <v>1860.5649999999996</v>
      </c>
      <c r="O21" s="61">
        <f t="shared" ca="1" si="6"/>
        <v>1860.5649999999996</v>
      </c>
      <c r="P21" s="67">
        <f t="shared" ca="1" si="7"/>
        <v>33490.169999999991</v>
      </c>
      <c r="Q21" s="63">
        <f t="shared" ca="1" si="8"/>
        <v>6990.169999999991</v>
      </c>
      <c r="R21" s="63">
        <f t="shared" ca="1" si="9"/>
        <v>388.34277777777726</v>
      </c>
      <c r="S21" s="66"/>
      <c r="T21" s="65">
        <f t="shared" ca="1" si="10"/>
        <v>1860.5649999999996</v>
      </c>
      <c r="U21" s="64">
        <f t="shared" ca="1" si="13"/>
        <v>33490.169999999991</v>
      </c>
      <c r="V21" s="63">
        <f t="shared" ca="1" si="11"/>
        <v>6990.169999999991</v>
      </c>
      <c r="W21" s="63">
        <f t="shared" ca="1" si="14"/>
        <v>388.34277777777726</v>
      </c>
      <c r="Y21" s="62">
        <f t="shared" ca="1" si="15"/>
        <v>1838.9904012345676</v>
      </c>
      <c r="Z21" s="61">
        <f t="shared" ca="1" si="16"/>
        <v>33101.827222222215</v>
      </c>
    </row>
    <row r="22" spans="1:26">
      <c r="A22" s="75">
        <v>19</v>
      </c>
      <c r="B22" s="72">
        <f t="shared" si="12"/>
        <v>1394.7368421052631</v>
      </c>
      <c r="C22" s="71">
        <v>0.18903576352282858</v>
      </c>
      <c r="D22" s="70">
        <v>810.96423647717143</v>
      </c>
      <c r="E22" s="74">
        <f t="shared" si="0"/>
        <v>26500</v>
      </c>
      <c r="F22" s="69">
        <f t="shared" si="1"/>
        <v>32677.149999999998</v>
      </c>
      <c r="G22" s="68">
        <f t="shared" si="2"/>
        <v>1719.85</v>
      </c>
      <c r="H22" s="73"/>
      <c r="I22" s="72">
        <f t="shared" si="3"/>
        <v>1394.7368421052631</v>
      </c>
      <c r="J22" s="71">
        <v>0.21795573629467424</v>
      </c>
      <c r="K22" s="70">
        <v>782.04426370532576</v>
      </c>
      <c r="L22" s="69">
        <f t="shared" si="4"/>
        <v>33885.549999999996</v>
      </c>
      <c r="M22" s="68">
        <f t="shared" si="5"/>
        <v>1783.4499999999998</v>
      </c>
      <c r="O22" s="61">
        <f t="shared" ca="1" si="6"/>
        <v>1783.4499999999998</v>
      </c>
      <c r="P22" s="67">
        <f t="shared" ca="1" si="7"/>
        <v>33885.549999999996</v>
      </c>
      <c r="Q22" s="63">
        <f t="shared" ca="1" si="8"/>
        <v>7385.5499999999956</v>
      </c>
      <c r="R22" s="63">
        <f t="shared" ca="1" si="9"/>
        <v>388.71315789473664</v>
      </c>
      <c r="S22" s="66"/>
      <c r="T22" s="65">
        <f t="shared" ca="1" si="10"/>
        <v>1783.4499999999998</v>
      </c>
      <c r="U22" s="64">
        <f t="shared" ca="1" si="13"/>
        <v>33885.549999999996</v>
      </c>
      <c r="V22" s="63">
        <f t="shared" ca="1" si="11"/>
        <v>7385.5499999999956</v>
      </c>
      <c r="W22" s="63">
        <f t="shared" ca="1" si="14"/>
        <v>388.71315789473664</v>
      </c>
      <c r="Y22" s="62">
        <f t="shared" ca="1" si="15"/>
        <v>1762.991412742382</v>
      </c>
      <c r="Z22" s="61">
        <f t="shared" ca="1" si="16"/>
        <v>33496.836842105258</v>
      </c>
    </row>
    <row r="23" spans="1:26">
      <c r="A23" s="75">
        <v>20</v>
      </c>
      <c r="B23" s="72">
        <f t="shared" si="12"/>
        <v>1325</v>
      </c>
      <c r="C23" s="71">
        <v>0.19717405266538213</v>
      </c>
      <c r="D23" s="70">
        <v>802.82594733461792</v>
      </c>
      <c r="E23" s="74">
        <f t="shared" si="0"/>
        <v>26500</v>
      </c>
      <c r="F23" s="69">
        <f t="shared" si="1"/>
        <v>33008.399999999994</v>
      </c>
      <c r="G23" s="68">
        <f t="shared" si="2"/>
        <v>1650.4199999999996</v>
      </c>
      <c r="H23" s="73"/>
      <c r="I23" s="72">
        <f t="shared" si="3"/>
        <v>1325</v>
      </c>
      <c r="J23" s="71">
        <v>0.22708301128458808</v>
      </c>
      <c r="K23" s="70">
        <v>772.91698871541189</v>
      </c>
      <c r="L23" s="69">
        <f t="shared" si="4"/>
        <v>34285.700000000004</v>
      </c>
      <c r="M23" s="68">
        <f t="shared" si="5"/>
        <v>1714.2850000000003</v>
      </c>
      <c r="O23" s="61">
        <f t="shared" ca="1" si="6"/>
        <v>1714.2850000000003</v>
      </c>
      <c r="P23" s="67">
        <f t="shared" ca="1" si="7"/>
        <v>34285.700000000004</v>
      </c>
      <c r="Q23" s="63">
        <f t="shared" ca="1" si="8"/>
        <v>7785.7000000000044</v>
      </c>
      <c r="R23" s="63">
        <f t="shared" ca="1" si="9"/>
        <v>389.2850000000002</v>
      </c>
      <c r="S23" s="66"/>
      <c r="T23" s="65">
        <f t="shared" ca="1" si="10"/>
        <v>1714.2850000000003</v>
      </c>
      <c r="U23" s="64">
        <f t="shared" ca="1" si="13"/>
        <v>34285.700000000004</v>
      </c>
      <c r="V23" s="63">
        <f t="shared" ca="1" si="11"/>
        <v>7785.7000000000044</v>
      </c>
      <c r="W23" s="63">
        <f t="shared" ca="1" si="14"/>
        <v>389.2850000000002</v>
      </c>
      <c r="Y23" s="62">
        <f t="shared" ca="1" si="15"/>
        <v>1694.8207500000001</v>
      </c>
      <c r="Z23" s="61">
        <f t="shared" ca="1" si="16"/>
        <v>33896.415000000001</v>
      </c>
    </row>
    <row r="24" spans="1:26">
      <c r="A24" s="75">
        <v>21</v>
      </c>
      <c r="B24" s="72">
        <f t="shared" si="12"/>
        <v>1261.9047619047619</v>
      </c>
      <c r="C24" s="71">
        <v>0.205289592472503</v>
      </c>
      <c r="D24" s="70">
        <v>794.71040752749695</v>
      </c>
      <c r="E24" s="74">
        <f t="shared" si="0"/>
        <v>26500</v>
      </c>
      <c r="F24" s="69">
        <f t="shared" si="1"/>
        <v>33345.480000000003</v>
      </c>
      <c r="G24" s="68">
        <f t="shared" si="2"/>
        <v>1587.88</v>
      </c>
      <c r="H24" s="73"/>
      <c r="I24" s="72">
        <f t="shared" si="3"/>
        <v>1261.9047619047619</v>
      </c>
      <c r="J24" s="71">
        <v>0.23613975587026592</v>
      </c>
      <c r="K24" s="70">
        <v>763.86024412973404</v>
      </c>
      <c r="L24" s="69">
        <f t="shared" si="4"/>
        <v>34692.21</v>
      </c>
      <c r="M24" s="68">
        <f t="shared" si="5"/>
        <v>1652.01</v>
      </c>
      <c r="O24" s="61">
        <f t="shared" ca="1" si="6"/>
        <v>1652.01</v>
      </c>
      <c r="P24" s="67">
        <f t="shared" ca="1" si="7"/>
        <v>34692.21</v>
      </c>
      <c r="Q24" s="63">
        <f t="shared" ca="1" si="8"/>
        <v>8192.2099999999991</v>
      </c>
      <c r="R24" s="63">
        <f t="shared" ca="1" si="9"/>
        <v>390.10523809523806</v>
      </c>
      <c r="S24" s="66"/>
      <c r="T24" s="65">
        <f t="shared" ca="1" si="10"/>
        <v>1652.01</v>
      </c>
      <c r="U24" s="64">
        <f t="shared" ca="1" si="13"/>
        <v>34692.21</v>
      </c>
      <c r="V24" s="63">
        <f t="shared" ca="1" si="11"/>
        <v>8192.2099999999991</v>
      </c>
      <c r="W24" s="63">
        <f t="shared" ca="1" si="14"/>
        <v>390.10523809523806</v>
      </c>
      <c r="Y24" s="62">
        <f t="shared" ca="1" si="15"/>
        <v>1633.4335600907029</v>
      </c>
      <c r="Z24" s="61">
        <f t="shared" ca="1" si="16"/>
        <v>34302.10476190476</v>
      </c>
    </row>
    <row r="25" spans="1:26">
      <c r="A25" s="75">
        <v>22</v>
      </c>
      <c r="B25" s="72">
        <f t="shared" si="12"/>
        <v>1204.5454545454545</v>
      </c>
      <c r="C25" s="71">
        <v>0.21318079531685219</v>
      </c>
      <c r="D25" s="70">
        <v>786.81920468314786</v>
      </c>
      <c r="E25" s="74">
        <f t="shared" si="0"/>
        <v>26500</v>
      </c>
      <c r="F25" s="69">
        <f t="shared" si="1"/>
        <v>33679.909999999996</v>
      </c>
      <c r="G25" s="68">
        <f t="shared" si="2"/>
        <v>1530.9049999999997</v>
      </c>
      <c r="H25" s="73"/>
      <c r="I25" s="72">
        <f t="shared" si="3"/>
        <v>1204.5454545454545</v>
      </c>
      <c r="J25" s="71">
        <v>0.24494110540622172</v>
      </c>
      <c r="K25" s="70">
        <v>755.05889459377829</v>
      </c>
      <c r="L25" s="69">
        <f t="shared" si="4"/>
        <v>35096.600000000006</v>
      </c>
      <c r="M25" s="68">
        <f t="shared" si="5"/>
        <v>1595.3000000000002</v>
      </c>
      <c r="O25" s="61">
        <f t="shared" ca="1" si="6"/>
        <v>1595.3000000000002</v>
      </c>
      <c r="P25" s="67">
        <f t="shared" ca="1" si="7"/>
        <v>35096.600000000006</v>
      </c>
      <c r="Q25" s="63">
        <f t="shared" ca="1" si="8"/>
        <v>8596.6000000000058</v>
      </c>
      <c r="R25" s="63">
        <f t="shared" ca="1" si="9"/>
        <v>390.75454545454573</v>
      </c>
      <c r="S25" s="66"/>
      <c r="T25" s="65">
        <f t="shared" ca="1" si="10"/>
        <v>1595.3000000000002</v>
      </c>
      <c r="U25" s="64">
        <f t="shared" ca="1" si="13"/>
        <v>35096.600000000006</v>
      </c>
      <c r="V25" s="63">
        <f t="shared" ca="1" si="11"/>
        <v>8596.6000000000058</v>
      </c>
      <c r="W25" s="63">
        <f t="shared" ca="1" si="14"/>
        <v>390.75454545454573</v>
      </c>
      <c r="Y25" s="62">
        <f t="shared" ca="1" si="15"/>
        <v>1577.5384297520663</v>
      </c>
      <c r="Z25" s="61">
        <f t="shared" ca="1" si="16"/>
        <v>34705.845454545459</v>
      </c>
    </row>
    <row r="26" spans="1:26">
      <c r="A26" s="75">
        <v>23</v>
      </c>
      <c r="B26" s="72">
        <f t="shared" si="12"/>
        <v>1152.1739130434783</v>
      </c>
      <c r="C26" s="71">
        <v>0.22095931070479813</v>
      </c>
      <c r="D26" s="70">
        <v>779.0406892952019</v>
      </c>
      <c r="E26" s="74">
        <f t="shared" si="0"/>
        <v>26500</v>
      </c>
      <c r="F26" s="69">
        <f t="shared" si="1"/>
        <v>34016.195</v>
      </c>
      <c r="G26" s="68">
        <f t="shared" si="2"/>
        <v>1478.9649999999999</v>
      </c>
      <c r="H26" s="73"/>
      <c r="I26" s="72">
        <f t="shared" si="3"/>
        <v>1152.1739130434783</v>
      </c>
      <c r="J26" s="71">
        <v>0.25359208807613365</v>
      </c>
      <c r="K26" s="70">
        <v>746.40791192386632</v>
      </c>
      <c r="L26" s="69">
        <f t="shared" si="4"/>
        <v>35503.375000000007</v>
      </c>
      <c r="M26" s="68">
        <f t="shared" si="5"/>
        <v>1543.6250000000002</v>
      </c>
      <c r="O26" s="61">
        <f t="shared" ca="1" si="6"/>
        <v>1543.6250000000002</v>
      </c>
      <c r="P26" s="67">
        <f t="shared" ca="1" si="7"/>
        <v>35503.375000000007</v>
      </c>
      <c r="Q26" s="63">
        <f t="shared" ca="1" si="8"/>
        <v>9003.3750000000073</v>
      </c>
      <c r="R26" s="63">
        <f t="shared" ca="1" si="9"/>
        <v>391.45108695652203</v>
      </c>
      <c r="S26" s="66"/>
      <c r="T26" s="65">
        <f t="shared" ca="1" si="10"/>
        <v>1543.6250000000002</v>
      </c>
      <c r="U26" s="64">
        <f t="shared" ca="1" si="13"/>
        <v>35503.375000000007</v>
      </c>
      <c r="V26" s="63">
        <f t="shared" ca="1" si="11"/>
        <v>9003.3750000000073</v>
      </c>
      <c r="W26" s="63">
        <f t="shared" ca="1" si="14"/>
        <v>391.45108695652203</v>
      </c>
      <c r="Y26" s="62">
        <f t="shared" ca="1" si="15"/>
        <v>1526.6053875236298</v>
      </c>
      <c r="Z26" s="61">
        <f t="shared" ca="1" si="16"/>
        <v>35111.923913043487</v>
      </c>
    </row>
    <row r="27" spans="1:26">
      <c r="A27" s="75">
        <v>24</v>
      </c>
      <c r="B27" s="72">
        <f t="shared" si="12"/>
        <v>1104.1666666666667</v>
      </c>
      <c r="C27" s="71">
        <v>0.22868073553005053</v>
      </c>
      <c r="D27" s="70">
        <v>771.31926446994942</v>
      </c>
      <c r="E27" s="74">
        <f t="shared" si="0"/>
        <v>26500</v>
      </c>
      <c r="F27" s="69">
        <f t="shared" si="1"/>
        <v>34356.720000000001</v>
      </c>
      <c r="G27" s="68">
        <f t="shared" si="2"/>
        <v>1431.53</v>
      </c>
      <c r="H27" s="73"/>
      <c r="I27" s="72">
        <f t="shared" si="3"/>
        <v>1104.1666666666667</v>
      </c>
      <c r="J27" s="71">
        <v>0.26214509178915046</v>
      </c>
      <c r="K27" s="70">
        <v>737.85490821084954</v>
      </c>
      <c r="L27" s="69">
        <f t="shared" si="4"/>
        <v>35914.92</v>
      </c>
      <c r="M27" s="68">
        <f t="shared" si="5"/>
        <v>1496.4549999999999</v>
      </c>
      <c r="O27" s="61">
        <f t="shared" ca="1" si="6"/>
        <v>1496.4549999999999</v>
      </c>
      <c r="P27" s="67">
        <f t="shared" ca="1" si="7"/>
        <v>35914.92</v>
      </c>
      <c r="Q27" s="63">
        <f t="shared" ca="1" si="8"/>
        <v>9414.9199999999983</v>
      </c>
      <c r="R27" s="63">
        <f t="shared" ca="1" si="9"/>
        <v>392.28833333333324</v>
      </c>
      <c r="S27" s="66"/>
      <c r="T27" s="65">
        <f t="shared" ca="1" si="10"/>
        <v>1496.4549999999999</v>
      </c>
      <c r="U27" s="64">
        <f t="shared" ca="1" si="13"/>
        <v>35914.92</v>
      </c>
      <c r="V27" s="63">
        <f t="shared" ca="1" si="11"/>
        <v>9414.9199999999983</v>
      </c>
      <c r="W27" s="63">
        <f t="shared" ca="1" si="14"/>
        <v>392.28833333333324</v>
      </c>
      <c r="Y27" s="62">
        <f t="shared" ca="1" si="15"/>
        <v>1480.1096527777779</v>
      </c>
      <c r="Z27" s="61">
        <f t="shared" ca="1" si="16"/>
        <v>35522.631666666668</v>
      </c>
    </row>
    <row r="28" spans="1:26">
      <c r="A28" s="75">
        <v>25</v>
      </c>
      <c r="B28" s="72">
        <f t="shared" si="12"/>
        <v>1060</v>
      </c>
      <c r="C28" s="71">
        <v>0.23620393354974223</v>
      </c>
      <c r="D28" s="70">
        <v>763.79606645025774</v>
      </c>
      <c r="E28" s="74">
        <f t="shared" si="0"/>
        <v>26500</v>
      </c>
      <c r="F28" s="69">
        <f t="shared" si="1"/>
        <v>34695.125000000007</v>
      </c>
      <c r="G28" s="68">
        <f t="shared" si="2"/>
        <v>1387.8050000000003</v>
      </c>
      <c r="H28" s="73"/>
      <c r="I28" s="72">
        <f t="shared" si="3"/>
        <v>1060</v>
      </c>
      <c r="J28" s="71">
        <v>0.27060539752005841</v>
      </c>
      <c r="K28" s="70">
        <v>729.39460247994157</v>
      </c>
      <c r="L28" s="69">
        <f t="shared" si="4"/>
        <v>36331.500000000007</v>
      </c>
      <c r="M28" s="68">
        <f t="shared" si="5"/>
        <v>1453.2600000000002</v>
      </c>
      <c r="O28" s="61">
        <f t="shared" ca="1" si="6"/>
        <v>1453.2600000000002</v>
      </c>
      <c r="P28" s="67">
        <f t="shared" ca="1" si="7"/>
        <v>36331.500000000007</v>
      </c>
      <c r="Q28" s="63">
        <f t="shared" ca="1" si="8"/>
        <v>9831.5000000000073</v>
      </c>
      <c r="R28" s="63">
        <f t="shared" ca="1" si="9"/>
        <v>393.26000000000028</v>
      </c>
      <c r="S28" s="66"/>
      <c r="T28" s="65">
        <f t="shared" ca="1" si="10"/>
        <v>1453.2600000000002</v>
      </c>
      <c r="U28" s="64">
        <f t="shared" ca="1" si="13"/>
        <v>36331.500000000007</v>
      </c>
      <c r="V28" s="63">
        <f t="shared" ca="1" si="11"/>
        <v>9831.5000000000073</v>
      </c>
      <c r="W28" s="63">
        <f t="shared" ca="1" si="14"/>
        <v>393.26000000000028</v>
      </c>
      <c r="Y28" s="62">
        <f t="shared" ca="1" si="15"/>
        <v>1437.5296000000003</v>
      </c>
      <c r="Z28" s="61">
        <f t="shared" ca="1" si="16"/>
        <v>35938.240000000005</v>
      </c>
    </row>
    <row r="29" spans="1:26">
      <c r="A29" s="75">
        <v>26</v>
      </c>
      <c r="B29" s="72">
        <f t="shared" si="12"/>
        <v>1019.2307692307693</v>
      </c>
      <c r="C29" s="71">
        <v>0.24362756221163306</v>
      </c>
      <c r="D29" s="70">
        <v>756.37243778836694</v>
      </c>
      <c r="E29" s="74">
        <f t="shared" si="0"/>
        <v>26500</v>
      </c>
      <c r="F29" s="69">
        <f t="shared" si="1"/>
        <v>35035.65</v>
      </c>
      <c r="G29" s="68">
        <f t="shared" si="2"/>
        <v>1347.5250000000001</v>
      </c>
      <c r="H29" s="73"/>
      <c r="I29" s="72">
        <f t="shared" si="3"/>
        <v>1019.2307692307693</v>
      </c>
      <c r="J29" s="71">
        <v>0.27880107891358596</v>
      </c>
      <c r="K29" s="70">
        <v>721.19892108641409</v>
      </c>
      <c r="L29" s="69">
        <f t="shared" si="4"/>
        <v>36744.369999999995</v>
      </c>
      <c r="M29" s="68">
        <f t="shared" si="5"/>
        <v>1413.2449999999999</v>
      </c>
      <c r="O29" s="61">
        <f t="shared" ca="1" si="6"/>
        <v>1413.2449999999999</v>
      </c>
      <c r="P29" s="67">
        <f t="shared" ca="1" si="7"/>
        <v>36744.369999999995</v>
      </c>
      <c r="Q29" s="63">
        <f t="shared" ca="1" si="8"/>
        <v>10244.369999999995</v>
      </c>
      <c r="R29" s="63">
        <f t="shared" ca="1" si="9"/>
        <v>394.01423076923061</v>
      </c>
      <c r="S29" s="66"/>
      <c r="T29" s="65">
        <f t="shared" ca="1" si="10"/>
        <v>1413.2449999999999</v>
      </c>
      <c r="U29" s="64">
        <f t="shared" ca="1" si="13"/>
        <v>36744.369999999995</v>
      </c>
      <c r="V29" s="63">
        <f t="shared" ca="1" si="11"/>
        <v>10244.369999999995</v>
      </c>
      <c r="W29" s="63">
        <f t="shared" ca="1" si="14"/>
        <v>394.01423076923061</v>
      </c>
      <c r="Y29" s="62">
        <f t="shared" ca="1" si="15"/>
        <v>1398.0906065088757</v>
      </c>
      <c r="Z29" s="61">
        <f t="shared" ca="1" si="16"/>
        <v>36350.355769230766</v>
      </c>
    </row>
    <row r="30" spans="1:26">
      <c r="A30" s="75">
        <v>27</v>
      </c>
      <c r="B30" s="72">
        <f t="shared" si="12"/>
        <v>981.48148148148152</v>
      </c>
      <c r="C30" s="71">
        <v>0.25102048458974646</v>
      </c>
      <c r="D30" s="70">
        <v>748.9795154102535</v>
      </c>
      <c r="E30" s="74">
        <f t="shared" si="0"/>
        <v>26500</v>
      </c>
      <c r="F30" s="69">
        <f t="shared" si="1"/>
        <v>35381.474999999999</v>
      </c>
      <c r="G30" s="68">
        <f t="shared" si="2"/>
        <v>1310.425</v>
      </c>
      <c r="H30" s="73"/>
      <c r="I30" s="72">
        <f t="shared" si="3"/>
        <v>981.48148148148152</v>
      </c>
      <c r="J30" s="71">
        <v>0.28692651064618724</v>
      </c>
      <c r="K30" s="70">
        <v>713.07348935381276</v>
      </c>
      <c r="L30" s="69">
        <f t="shared" si="4"/>
        <v>37163.070000000007</v>
      </c>
      <c r="M30" s="68">
        <f t="shared" si="5"/>
        <v>1376.4100000000003</v>
      </c>
      <c r="O30" s="61">
        <f t="shared" ca="1" si="6"/>
        <v>1376.4100000000003</v>
      </c>
      <c r="P30" s="67">
        <f t="shared" ca="1" si="7"/>
        <v>37163.070000000007</v>
      </c>
      <c r="Q30" s="63">
        <f t="shared" ca="1" si="8"/>
        <v>10663.070000000007</v>
      </c>
      <c r="R30" s="63">
        <f t="shared" ca="1" si="9"/>
        <v>394.92851851851879</v>
      </c>
      <c r="S30" s="66"/>
      <c r="T30" s="65">
        <f t="shared" ca="1" si="10"/>
        <v>1376.4100000000003</v>
      </c>
      <c r="U30" s="64">
        <f t="shared" ca="1" si="13"/>
        <v>37163.070000000007</v>
      </c>
      <c r="V30" s="63">
        <f t="shared" ca="1" si="11"/>
        <v>10663.070000000007</v>
      </c>
      <c r="W30" s="63">
        <f t="shared" ca="1" si="14"/>
        <v>394.92851851851879</v>
      </c>
      <c r="Y30" s="62">
        <f t="shared" ca="1" si="15"/>
        <v>1361.7830178326476</v>
      </c>
      <c r="Z30" s="61">
        <f t="shared" ca="1" si="16"/>
        <v>36768.141481481485</v>
      </c>
    </row>
    <row r="31" spans="1:26">
      <c r="A31" s="75">
        <v>28</v>
      </c>
      <c r="B31" s="72">
        <f t="shared" si="12"/>
        <v>946.42857142857144</v>
      </c>
      <c r="C31" s="71">
        <v>0.25827028630766946</v>
      </c>
      <c r="D31" s="70">
        <v>741.72971369233051</v>
      </c>
      <c r="E31" s="74">
        <f t="shared" si="0"/>
        <v>26500</v>
      </c>
      <c r="F31" s="69">
        <f t="shared" si="1"/>
        <v>35727.300000000003</v>
      </c>
      <c r="G31" s="68">
        <f t="shared" si="2"/>
        <v>1275.9750000000001</v>
      </c>
      <c r="H31" s="73"/>
      <c r="I31" s="72">
        <f t="shared" si="3"/>
        <v>946.42857142857144</v>
      </c>
      <c r="J31" s="71">
        <v>0.29502002143139128</v>
      </c>
      <c r="K31" s="70">
        <v>704.97997856860877</v>
      </c>
      <c r="L31" s="69">
        <f t="shared" si="4"/>
        <v>37589.719999999994</v>
      </c>
      <c r="M31" s="68">
        <f t="shared" si="5"/>
        <v>1342.4899999999998</v>
      </c>
      <c r="O31" s="61">
        <f t="shared" ca="1" si="6"/>
        <v>1342.4899999999998</v>
      </c>
      <c r="P31" s="67">
        <f t="shared" ca="1" si="7"/>
        <v>37589.719999999994</v>
      </c>
      <c r="Q31" s="63">
        <f t="shared" ca="1" si="8"/>
        <v>11089.719999999994</v>
      </c>
      <c r="R31" s="63">
        <f t="shared" ca="1" si="9"/>
        <v>396.06142857142834</v>
      </c>
      <c r="S31" s="66"/>
      <c r="T31" s="65">
        <f t="shared" ca="1" si="10"/>
        <v>1342.4899999999998</v>
      </c>
      <c r="U31" s="64">
        <f t="shared" ca="1" si="13"/>
        <v>37589.719999999994</v>
      </c>
      <c r="V31" s="63">
        <f t="shared" ca="1" si="11"/>
        <v>11089.719999999994</v>
      </c>
      <c r="W31" s="63">
        <f t="shared" ca="1" si="14"/>
        <v>396.06142857142834</v>
      </c>
      <c r="Y31" s="62">
        <f t="shared" ca="1" si="15"/>
        <v>1328.3449489795917</v>
      </c>
      <c r="Z31" s="61">
        <f t="shared" ca="1" si="16"/>
        <v>37193.658571428568</v>
      </c>
    </row>
    <row r="32" spans="1:26">
      <c r="A32" s="75">
        <v>29</v>
      </c>
      <c r="B32" s="72">
        <f t="shared" si="12"/>
        <v>913.79310344827582</v>
      </c>
      <c r="C32" s="71">
        <v>0.26554294737615214</v>
      </c>
      <c r="D32" s="70">
        <v>734.45705262384786</v>
      </c>
      <c r="E32" s="74">
        <f t="shared" si="0"/>
        <v>26500</v>
      </c>
      <c r="F32" s="69">
        <f t="shared" si="1"/>
        <v>36081.074999999997</v>
      </c>
      <c r="G32" s="68">
        <f t="shared" si="2"/>
        <v>1244.175</v>
      </c>
      <c r="H32" s="73"/>
      <c r="I32" s="72">
        <f t="shared" si="3"/>
        <v>913.79310344827582</v>
      </c>
      <c r="J32" s="71">
        <v>0.30281523209280914</v>
      </c>
      <c r="K32" s="70">
        <v>697.18476790719092</v>
      </c>
      <c r="L32" s="69">
        <f t="shared" si="4"/>
        <v>38010.009999999995</v>
      </c>
      <c r="M32" s="68">
        <f t="shared" si="5"/>
        <v>1310.6899999999998</v>
      </c>
      <c r="O32" s="61">
        <f t="shared" ca="1" si="6"/>
        <v>1310.6899999999998</v>
      </c>
      <c r="P32" s="67">
        <f t="shared" ca="1" si="7"/>
        <v>38010.009999999995</v>
      </c>
      <c r="Q32" s="63">
        <f t="shared" ca="1" si="8"/>
        <v>11510.009999999995</v>
      </c>
      <c r="R32" s="63">
        <f t="shared" ca="1" si="9"/>
        <v>396.89689655172396</v>
      </c>
      <c r="S32" s="66"/>
      <c r="T32" s="65">
        <f t="shared" ca="1" si="10"/>
        <v>1310.6899999999998</v>
      </c>
      <c r="U32" s="64">
        <f t="shared" ca="1" si="13"/>
        <v>38010.009999999995</v>
      </c>
      <c r="V32" s="63">
        <f t="shared" ca="1" si="11"/>
        <v>11510.009999999995</v>
      </c>
      <c r="W32" s="63">
        <f t="shared" ca="1" si="14"/>
        <v>396.89689655172396</v>
      </c>
      <c r="Y32" s="62">
        <f t="shared" ca="1" si="15"/>
        <v>1297.0039001189057</v>
      </c>
      <c r="Z32" s="61">
        <f t="shared" ca="1" si="16"/>
        <v>37613.113103448268</v>
      </c>
    </row>
    <row r="33" spans="1:30">
      <c r="A33" s="75">
        <v>30</v>
      </c>
      <c r="B33" s="72">
        <f t="shared" si="12"/>
        <v>883.33333333333337</v>
      </c>
      <c r="C33" s="71">
        <v>0.27251564091372038</v>
      </c>
      <c r="D33" s="70">
        <v>727.4843590862796</v>
      </c>
      <c r="E33" s="74">
        <f t="shared" si="0"/>
        <v>26500</v>
      </c>
      <c r="F33" s="69">
        <f t="shared" si="1"/>
        <v>36426.9</v>
      </c>
      <c r="G33" s="68">
        <f t="shared" si="2"/>
        <v>1214.23</v>
      </c>
      <c r="H33" s="73"/>
      <c r="I33" s="72">
        <f t="shared" si="3"/>
        <v>883.33333333333337</v>
      </c>
      <c r="J33" s="71">
        <v>0.31058255773871069</v>
      </c>
      <c r="K33" s="70">
        <v>689.41744226128935</v>
      </c>
      <c r="L33" s="69">
        <f t="shared" si="4"/>
        <v>38438.249999999993</v>
      </c>
      <c r="M33" s="68">
        <f t="shared" si="5"/>
        <v>1281.2749999999999</v>
      </c>
      <c r="O33" s="61">
        <f t="shared" ca="1" si="6"/>
        <v>1281.2749999999999</v>
      </c>
      <c r="P33" s="67">
        <f t="shared" ca="1" si="7"/>
        <v>38438.249999999993</v>
      </c>
      <c r="Q33" s="63">
        <f t="shared" ca="1" si="8"/>
        <v>11938.249999999993</v>
      </c>
      <c r="R33" s="63">
        <f t="shared" ca="1" si="9"/>
        <v>397.94166666666644</v>
      </c>
      <c r="S33" s="66"/>
      <c r="T33" s="65">
        <f t="shared" ca="1" si="10"/>
        <v>1281.2749999999999</v>
      </c>
      <c r="U33" s="64">
        <f t="shared" ca="1" si="13"/>
        <v>38438.249999999993</v>
      </c>
      <c r="V33" s="63">
        <f t="shared" ca="1" si="11"/>
        <v>11938.249999999993</v>
      </c>
      <c r="W33" s="63">
        <f t="shared" ca="1" si="14"/>
        <v>397.94166666666644</v>
      </c>
      <c r="Y33" s="62">
        <f t="shared" ca="1" si="15"/>
        <v>1268.0102777777777</v>
      </c>
      <c r="Z33" s="61">
        <f t="shared" ca="1" si="16"/>
        <v>38040.308333333327</v>
      </c>
    </row>
    <row r="34" spans="1:30">
      <c r="A34" s="75">
        <v>31</v>
      </c>
      <c r="B34" s="72">
        <f t="shared" si="12"/>
        <v>854.83870967741939</v>
      </c>
      <c r="C34" s="71">
        <v>0.2796323243383424</v>
      </c>
      <c r="D34" s="70">
        <v>720.36767566165759</v>
      </c>
      <c r="E34" s="74">
        <f t="shared" si="0"/>
        <v>26500</v>
      </c>
      <c r="F34" s="69">
        <f t="shared" si="1"/>
        <v>36786.770000000004</v>
      </c>
      <c r="G34" s="68">
        <f t="shared" si="2"/>
        <v>1186.67</v>
      </c>
      <c r="H34" s="73"/>
      <c r="I34" s="72">
        <f t="shared" si="3"/>
        <v>854.83870967741939</v>
      </c>
      <c r="J34" s="71">
        <v>0.31829956643852431</v>
      </c>
      <c r="K34" s="70">
        <v>681.70043356147573</v>
      </c>
      <c r="L34" s="69">
        <f t="shared" si="4"/>
        <v>38873.379999999997</v>
      </c>
      <c r="M34" s="68">
        <f t="shared" si="5"/>
        <v>1253.98</v>
      </c>
      <c r="O34" s="61">
        <f t="shared" ca="1" si="6"/>
        <v>1253.98</v>
      </c>
      <c r="P34" s="67">
        <f t="shared" ca="1" si="7"/>
        <v>38873.379999999997</v>
      </c>
      <c r="Q34" s="63">
        <f t="shared" ca="1" si="8"/>
        <v>12373.379999999997</v>
      </c>
      <c r="R34" s="63">
        <f t="shared" ca="1" si="9"/>
        <v>399.14129032258057</v>
      </c>
      <c r="S34" s="66"/>
      <c r="T34" s="65">
        <f t="shared" ca="1" si="10"/>
        <v>1253.98</v>
      </c>
      <c r="U34" s="64">
        <f t="shared" ca="1" si="13"/>
        <v>38873.379999999997</v>
      </c>
      <c r="V34" s="63">
        <f t="shared" ca="1" si="11"/>
        <v>12373.379999999997</v>
      </c>
      <c r="W34" s="63">
        <f t="shared" ca="1" si="14"/>
        <v>399.14129032258057</v>
      </c>
      <c r="Y34" s="62">
        <f t="shared" ca="1" si="15"/>
        <v>1241.1044745057231</v>
      </c>
      <c r="Z34" s="61">
        <f t="shared" ca="1" si="16"/>
        <v>38474.238709677418</v>
      </c>
    </row>
    <row r="35" spans="1:30">
      <c r="A35" s="75">
        <v>32</v>
      </c>
      <c r="B35" s="72">
        <f t="shared" si="12"/>
        <v>828.125</v>
      </c>
      <c r="C35" s="71">
        <v>0.2865296803652968</v>
      </c>
      <c r="D35" s="70">
        <v>713.47031963470317</v>
      </c>
      <c r="E35" s="74">
        <f t="shared" si="0"/>
        <v>26500</v>
      </c>
      <c r="F35" s="69">
        <f t="shared" si="1"/>
        <v>37142.400000000001</v>
      </c>
      <c r="G35" s="68">
        <f t="shared" si="2"/>
        <v>1160.7</v>
      </c>
      <c r="H35" s="73"/>
      <c r="I35" s="72">
        <f t="shared" si="3"/>
        <v>828.125</v>
      </c>
      <c r="J35" s="71">
        <v>0.32578209277238401</v>
      </c>
      <c r="K35" s="70">
        <v>674.21790722761602</v>
      </c>
      <c r="L35" s="69">
        <f t="shared" si="4"/>
        <v>39304.799999999996</v>
      </c>
      <c r="M35" s="68">
        <f t="shared" si="5"/>
        <v>1228.2749999999999</v>
      </c>
      <c r="O35" s="61">
        <f t="shared" ca="1" si="6"/>
        <v>1228.2749999999999</v>
      </c>
      <c r="P35" s="67">
        <f t="shared" ca="1" si="7"/>
        <v>39304.799999999996</v>
      </c>
      <c r="Q35" s="63">
        <f t="shared" ca="1" si="8"/>
        <v>12804.799999999996</v>
      </c>
      <c r="R35" s="63">
        <f t="shared" ca="1" si="9"/>
        <v>400.14999999999986</v>
      </c>
      <c r="S35" s="66"/>
      <c r="T35" s="65">
        <f t="shared" ca="1" si="10"/>
        <v>1228.2749999999999</v>
      </c>
      <c r="U35" s="64">
        <f t="shared" ca="1" si="13"/>
        <v>39304.799999999996</v>
      </c>
      <c r="V35" s="63">
        <f t="shared" ca="1" si="11"/>
        <v>12804.799999999996</v>
      </c>
      <c r="W35" s="63">
        <f t="shared" ca="1" si="14"/>
        <v>400.14999999999986</v>
      </c>
      <c r="Y35" s="62">
        <f t="shared" ca="1" si="15"/>
        <v>1215.7703124999998</v>
      </c>
      <c r="Z35" s="61">
        <f t="shared" ca="1" si="16"/>
        <v>38904.649999999994</v>
      </c>
    </row>
    <row r="36" spans="1:30">
      <c r="A36" s="75">
        <v>33</v>
      </c>
      <c r="B36" s="72">
        <f t="shared" si="12"/>
        <v>803.030303030303</v>
      </c>
      <c r="C36" s="71">
        <v>0.29330619629127086</v>
      </c>
      <c r="D36" s="70">
        <v>706.69380370872909</v>
      </c>
      <c r="E36" s="74">
        <f t="shared" si="0"/>
        <v>26500</v>
      </c>
      <c r="F36" s="69">
        <f t="shared" si="1"/>
        <v>37498.559999999998</v>
      </c>
      <c r="G36" s="68">
        <f t="shared" si="2"/>
        <v>1136.32</v>
      </c>
      <c r="H36" s="73"/>
      <c r="I36" s="72">
        <f t="shared" si="3"/>
        <v>803.030303030303</v>
      </c>
      <c r="J36" s="71">
        <v>0.33311993171148102</v>
      </c>
      <c r="K36" s="70">
        <v>666.88006828851894</v>
      </c>
      <c r="L36" s="69">
        <f t="shared" si="4"/>
        <v>39737.280000000006</v>
      </c>
      <c r="M36" s="68">
        <f t="shared" si="5"/>
        <v>1204.1600000000001</v>
      </c>
      <c r="O36" s="61">
        <f t="shared" ca="1" si="6"/>
        <v>1204.1600000000001</v>
      </c>
      <c r="P36" s="67">
        <f t="shared" ca="1" si="7"/>
        <v>39737.280000000006</v>
      </c>
      <c r="Q36" s="63">
        <f t="shared" ca="1" si="8"/>
        <v>13237.280000000006</v>
      </c>
      <c r="R36" s="63">
        <f t="shared" ca="1" si="9"/>
        <v>401.12969696969714</v>
      </c>
      <c r="S36" s="66"/>
      <c r="T36" s="65">
        <f t="shared" ca="1" si="10"/>
        <v>1204.1600000000001</v>
      </c>
      <c r="U36" s="64">
        <f t="shared" ca="1" si="13"/>
        <v>39737.280000000006</v>
      </c>
      <c r="V36" s="63">
        <f t="shared" ca="1" si="11"/>
        <v>13237.280000000006</v>
      </c>
      <c r="W36" s="63">
        <f t="shared" ca="1" si="14"/>
        <v>401.12969696969714</v>
      </c>
      <c r="Y36" s="62">
        <f t="shared" ca="1" si="15"/>
        <v>1192.0045546372821</v>
      </c>
      <c r="Z36" s="61">
        <f t="shared" ca="1" si="16"/>
        <v>39336.150303030307</v>
      </c>
    </row>
    <row r="37" spans="1:30">
      <c r="A37" s="75">
        <v>34</v>
      </c>
      <c r="B37" s="72">
        <f t="shared" si="12"/>
        <v>779.41176470588232</v>
      </c>
      <c r="C37" s="71">
        <v>0.29988658162622339</v>
      </c>
      <c r="D37" s="70">
        <v>700.11341837377665</v>
      </c>
      <c r="E37" s="74">
        <f t="shared" si="0"/>
        <v>26500</v>
      </c>
      <c r="F37" s="69">
        <f t="shared" si="1"/>
        <v>37851.009999999995</v>
      </c>
      <c r="G37" s="68">
        <f t="shared" si="2"/>
        <v>1113.2649999999999</v>
      </c>
      <c r="H37" s="73"/>
      <c r="I37" s="72">
        <f t="shared" si="3"/>
        <v>779.41176470588232</v>
      </c>
      <c r="J37" s="71">
        <v>0.3403954988588842</v>
      </c>
      <c r="K37" s="70">
        <v>659.60450114111575</v>
      </c>
      <c r="L37" s="69">
        <f t="shared" si="4"/>
        <v>40175.589999999997</v>
      </c>
      <c r="M37" s="68">
        <f t="shared" si="5"/>
        <v>1181.635</v>
      </c>
      <c r="O37" s="61">
        <f t="shared" ca="1" si="6"/>
        <v>1181.635</v>
      </c>
      <c r="P37" s="67">
        <f t="shared" ca="1" si="7"/>
        <v>40175.589999999997</v>
      </c>
      <c r="Q37" s="63">
        <f t="shared" ca="1" si="8"/>
        <v>13675.589999999997</v>
      </c>
      <c r="R37" s="63">
        <f t="shared" ca="1" si="9"/>
        <v>402.22323529411756</v>
      </c>
      <c r="S37" s="66"/>
      <c r="T37" s="65">
        <f t="shared" ca="1" si="10"/>
        <v>1181.635</v>
      </c>
      <c r="U37" s="64">
        <f t="shared" ca="1" si="13"/>
        <v>40175.589999999997</v>
      </c>
      <c r="V37" s="63">
        <f t="shared" ca="1" si="11"/>
        <v>13675.589999999997</v>
      </c>
      <c r="W37" s="63">
        <f t="shared" ca="1" si="14"/>
        <v>402.22323529411756</v>
      </c>
      <c r="Y37" s="62">
        <f t="shared" ca="1" si="15"/>
        <v>1169.8049048442904</v>
      </c>
      <c r="Z37" s="61">
        <f t="shared" ca="1" si="16"/>
        <v>39773.366764705876</v>
      </c>
    </row>
    <row r="38" spans="1:30">
      <c r="A38" s="75">
        <v>35</v>
      </c>
      <c r="B38" s="72">
        <f t="shared" si="12"/>
        <v>757.14285714285711</v>
      </c>
      <c r="C38" s="71">
        <v>0.30651872399445224</v>
      </c>
      <c r="D38" s="70">
        <v>693.48127600554778</v>
      </c>
      <c r="E38" s="74">
        <f t="shared" si="0"/>
        <v>26500</v>
      </c>
      <c r="F38" s="69">
        <f t="shared" si="1"/>
        <v>38213</v>
      </c>
      <c r="G38" s="68">
        <f t="shared" si="2"/>
        <v>1091.8</v>
      </c>
      <c r="H38" s="73"/>
      <c r="I38" s="72">
        <f t="shared" si="3"/>
        <v>757.14285714285711</v>
      </c>
      <c r="J38" s="71">
        <v>0.34768427919112854</v>
      </c>
      <c r="K38" s="70">
        <v>652.31572080887145</v>
      </c>
      <c r="L38" s="69">
        <f t="shared" si="4"/>
        <v>40624.500000000007</v>
      </c>
      <c r="M38" s="68">
        <f t="shared" si="5"/>
        <v>1160.7000000000003</v>
      </c>
      <c r="O38" s="61">
        <f t="shared" ca="1" si="6"/>
        <v>1160.7000000000003</v>
      </c>
      <c r="P38" s="67">
        <f t="shared" ca="1" si="7"/>
        <v>40624.500000000007</v>
      </c>
      <c r="Q38" s="63">
        <f t="shared" ca="1" si="8"/>
        <v>14124.500000000007</v>
      </c>
      <c r="R38" s="63">
        <f t="shared" ca="1" si="9"/>
        <v>403.55714285714305</v>
      </c>
      <c r="S38" s="66"/>
      <c r="T38" s="65">
        <f t="shared" ca="1" si="10"/>
        <v>1160.7000000000003</v>
      </c>
      <c r="U38" s="64">
        <f t="shared" ca="1" si="13"/>
        <v>40624.500000000007</v>
      </c>
      <c r="V38" s="63">
        <f t="shared" ca="1" si="11"/>
        <v>14124.500000000007</v>
      </c>
      <c r="W38" s="63">
        <f t="shared" ca="1" si="14"/>
        <v>403.55714285714305</v>
      </c>
      <c r="Y38" s="62">
        <f t="shared" ca="1" si="15"/>
        <v>1149.1697959183675</v>
      </c>
      <c r="Z38" s="61">
        <f t="shared" ca="1" si="16"/>
        <v>40220.942857142865</v>
      </c>
    </row>
    <row r="39" spans="1:30">
      <c r="A39" s="75">
        <v>36</v>
      </c>
      <c r="B39" s="72">
        <f t="shared" si="12"/>
        <v>736.11111111111109</v>
      </c>
      <c r="C39" s="71">
        <v>0.31311133091548515</v>
      </c>
      <c r="D39" s="70">
        <v>686.88866908451485</v>
      </c>
      <c r="E39" s="74">
        <f t="shared" si="0"/>
        <v>26500</v>
      </c>
      <c r="F39" s="69">
        <f t="shared" si="1"/>
        <v>38579.759999999995</v>
      </c>
      <c r="G39" s="68">
        <f t="shared" si="2"/>
        <v>1071.6599999999999</v>
      </c>
      <c r="H39" s="73"/>
      <c r="I39" s="72">
        <f t="shared" si="3"/>
        <v>736.11111111111109</v>
      </c>
      <c r="J39" s="71">
        <v>0.35475545231642791</v>
      </c>
      <c r="K39" s="70">
        <v>645.24454768357214</v>
      </c>
      <c r="L39" s="69">
        <f t="shared" si="4"/>
        <v>41069.699999999997</v>
      </c>
      <c r="M39" s="68">
        <f t="shared" si="5"/>
        <v>1140.8249999999998</v>
      </c>
      <c r="O39" s="61">
        <f t="shared" ca="1" si="6"/>
        <v>1140.8249999999998</v>
      </c>
      <c r="P39" s="67">
        <f t="shared" ca="1" si="7"/>
        <v>41069.699999999997</v>
      </c>
      <c r="Q39" s="63">
        <f t="shared" ca="1" si="8"/>
        <v>14569.699999999997</v>
      </c>
      <c r="R39" s="63">
        <f t="shared" ca="1" si="9"/>
        <v>404.71388888888879</v>
      </c>
      <c r="S39" s="66"/>
      <c r="T39" s="65">
        <f t="shared" ca="1" si="10"/>
        <v>1140.8249999999998</v>
      </c>
      <c r="U39" s="64">
        <f t="shared" ca="1" si="13"/>
        <v>41069.699999999997</v>
      </c>
      <c r="V39" s="63">
        <f t="shared" ca="1" si="11"/>
        <v>14569.699999999997</v>
      </c>
      <c r="W39" s="63">
        <f t="shared" ca="1" si="14"/>
        <v>404.71388888888879</v>
      </c>
      <c r="Y39" s="62">
        <f t="shared" ca="1" si="15"/>
        <v>1129.5829475308642</v>
      </c>
      <c r="Z39" s="61">
        <f t="shared" ca="1" si="16"/>
        <v>40664.986111111109</v>
      </c>
    </row>
    <row r="40" spans="1:30">
      <c r="B40" s="58"/>
      <c r="C40" s="58"/>
      <c r="D40" s="58"/>
      <c r="E40" s="58"/>
      <c r="F40" s="58"/>
      <c r="G40" s="58"/>
      <c r="H40" s="58"/>
      <c r="I40" s="58"/>
      <c r="J40" s="58"/>
      <c r="K40" s="58"/>
      <c r="M40" s="58"/>
    </row>
    <row r="44" spans="1:30">
      <c r="Q44" s="59"/>
      <c r="R44" s="59"/>
      <c r="S44" s="59"/>
      <c r="T44" s="59"/>
      <c r="U44" s="59"/>
      <c r="V44" s="59"/>
      <c r="W44" s="59"/>
      <c r="X44" s="59"/>
      <c r="Y44" s="59"/>
      <c r="Z44" s="59"/>
      <c r="AA44" s="59"/>
      <c r="AB44" s="59"/>
      <c r="AC44" s="59"/>
      <c r="AD44" s="59"/>
    </row>
    <row r="45" spans="1:30" ht="15" customHeight="1">
      <c r="L45" s="2436"/>
      <c r="M45" s="2436"/>
      <c r="N45" s="2436"/>
      <c r="O45" s="2436"/>
      <c r="P45" s="2436"/>
      <c r="Q45" s="59"/>
      <c r="R45" s="59"/>
      <c r="S45" s="59"/>
      <c r="T45" s="59"/>
      <c r="U45" s="59"/>
      <c r="V45" s="59"/>
      <c r="W45" s="59"/>
      <c r="X45" s="59"/>
      <c r="Y45" s="59"/>
      <c r="Z45" s="59"/>
      <c r="AA45" s="59"/>
      <c r="AB45" s="59"/>
      <c r="AC45" s="59"/>
      <c r="AD45" s="59"/>
    </row>
    <row r="46" spans="1:30">
      <c r="Q46" s="59"/>
      <c r="R46" s="59"/>
      <c r="S46" s="59"/>
      <c r="T46" s="59"/>
      <c r="U46" s="59"/>
      <c r="V46" s="59"/>
      <c r="W46" s="59"/>
      <c r="X46" s="59"/>
      <c r="Y46" s="59"/>
      <c r="Z46" s="59"/>
      <c r="AA46" s="59"/>
      <c r="AB46" s="59"/>
      <c r="AC46" s="59"/>
      <c r="AD46" s="59"/>
    </row>
    <row r="47" spans="1:30">
      <c r="Q47" s="59"/>
      <c r="R47" s="59"/>
      <c r="S47" s="59"/>
      <c r="T47" s="59"/>
      <c r="U47" s="59"/>
      <c r="V47" s="59"/>
      <c r="W47" s="59"/>
      <c r="X47" s="59"/>
      <c r="Y47" s="59"/>
      <c r="Z47" s="59"/>
      <c r="AA47" s="59"/>
      <c r="AB47" s="59"/>
      <c r="AC47" s="59"/>
      <c r="AD47" s="59"/>
    </row>
    <row r="48" spans="1:30">
      <c r="Q48" s="59"/>
      <c r="R48" s="59"/>
      <c r="S48" s="59"/>
      <c r="T48" s="59"/>
      <c r="U48" s="59"/>
      <c r="V48" s="59"/>
      <c r="W48" s="59"/>
      <c r="X48" s="59"/>
      <c r="Y48" s="59"/>
      <c r="Z48" s="59"/>
      <c r="AA48" s="59"/>
      <c r="AB48" s="59"/>
      <c r="AC48" s="59"/>
      <c r="AD48" s="59"/>
    </row>
    <row r="49" spans="15:30">
      <c r="Q49" s="59"/>
      <c r="R49" s="59"/>
      <c r="S49" s="59"/>
      <c r="T49" s="59"/>
      <c r="U49" s="59"/>
      <c r="V49" s="59"/>
      <c r="W49" s="59"/>
      <c r="X49" s="59"/>
      <c r="Y49" s="59"/>
      <c r="Z49" s="59"/>
      <c r="AA49" s="59"/>
      <c r="AB49" s="59"/>
      <c r="AC49" s="59"/>
      <c r="AD49" s="59"/>
    </row>
    <row r="50" spans="15:30">
      <c r="Q50" s="59"/>
      <c r="R50" s="59"/>
      <c r="S50" s="59"/>
      <c r="T50" s="59"/>
      <c r="U50" s="59"/>
      <c r="V50" s="59"/>
      <c r="W50" s="59"/>
      <c r="X50" s="59"/>
      <c r="Y50" s="59"/>
      <c r="Z50" s="59"/>
      <c r="AA50" s="59"/>
      <c r="AB50" s="59"/>
      <c r="AC50" s="59"/>
      <c r="AD50" s="59"/>
    </row>
    <row r="51" spans="15:30">
      <c r="Q51" s="59"/>
      <c r="R51" s="59"/>
      <c r="S51" s="59"/>
      <c r="T51" s="59"/>
      <c r="U51" s="59"/>
      <c r="V51" s="59"/>
      <c r="W51" s="59"/>
      <c r="X51" s="59"/>
      <c r="Y51" s="59"/>
      <c r="Z51" s="59"/>
      <c r="AA51" s="59"/>
      <c r="AB51" s="59"/>
      <c r="AC51" s="59"/>
      <c r="AD51" s="59"/>
    </row>
    <row r="52" spans="15:30">
      <c r="Q52" s="59"/>
      <c r="R52" s="59"/>
      <c r="S52" s="59"/>
      <c r="T52" s="59"/>
      <c r="U52" s="59"/>
      <c r="V52" s="59"/>
      <c r="W52" s="59"/>
      <c r="X52" s="59"/>
      <c r="Y52" s="59"/>
      <c r="Z52" s="59"/>
      <c r="AA52" s="59"/>
      <c r="AB52" s="59"/>
      <c r="AC52" s="59"/>
      <c r="AD52" s="59"/>
    </row>
    <row r="53" spans="15:30">
      <c r="Q53" s="59"/>
      <c r="R53" s="59"/>
      <c r="S53" s="59"/>
      <c r="T53" s="59"/>
      <c r="U53" s="59"/>
      <c r="V53" s="59"/>
      <c r="W53" s="59"/>
      <c r="X53" s="59"/>
      <c r="Y53" s="59"/>
      <c r="Z53" s="59"/>
      <c r="AA53" s="59"/>
      <c r="AB53" s="59"/>
      <c r="AC53" s="59"/>
      <c r="AD53" s="59"/>
    </row>
    <row r="54" spans="15:30">
      <c r="O54" s="59"/>
      <c r="P54" s="59"/>
      <c r="Q54" s="59"/>
      <c r="R54" s="59"/>
      <c r="S54" s="59"/>
      <c r="T54" s="59"/>
      <c r="U54" s="59"/>
      <c r="V54" s="59"/>
      <c r="W54" s="59"/>
      <c r="X54" s="59"/>
      <c r="Y54" s="59"/>
      <c r="Z54" s="59"/>
      <c r="AA54" s="59"/>
      <c r="AB54" s="59"/>
      <c r="AC54" s="59"/>
      <c r="AD54" s="59"/>
    </row>
    <row r="55" spans="15:30">
      <c r="O55" s="59"/>
      <c r="P55" s="59"/>
      <c r="Q55" s="59"/>
      <c r="R55" s="59"/>
      <c r="S55" s="59"/>
      <c r="T55" s="59"/>
      <c r="U55" s="59"/>
      <c r="V55" s="59"/>
      <c r="W55" s="59"/>
      <c r="X55" s="59"/>
      <c r="Y55" s="59"/>
      <c r="Z55" s="59"/>
      <c r="AA55" s="59"/>
      <c r="AB55" s="59"/>
      <c r="AC55" s="59"/>
      <c r="AD55" s="59"/>
    </row>
    <row r="56" spans="15:30">
      <c r="O56" s="59"/>
      <c r="P56" s="59"/>
      <c r="Q56" s="59"/>
      <c r="R56" s="59"/>
      <c r="S56" s="59"/>
      <c r="T56" s="59"/>
      <c r="U56" s="59"/>
      <c r="V56" s="59"/>
      <c r="W56" s="59"/>
      <c r="X56" s="59"/>
      <c r="Y56" s="59"/>
      <c r="Z56" s="59"/>
      <c r="AA56" s="59"/>
      <c r="AB56" s="59"/>
      <c r="AC56" s="59"/>
      <c r="AD56" s="59"/>
    </row>
    <row r="57" spans="15:30">
      <c r="O57" s="59"/>
      <c r="P57" s="59"/>
      <c r="Q57" s="59"/>
      <c r="R57" s="59"/>
      <c r="S57" s="59"/>
      <c r="T57" s="59"/>
      <c r="U57" s="59"/>
      <c r="V57" s="59"/>
      <c r="W57" s="59"/>
      <c r="X57" s="59"/>
      <c r="Y57" s="59"/>
      <c r="Z57" s="59"/>
      <c r="AA57" s="59"/>
      <c r="AB57" s="59"/>
      <c r="AC57" s="59"/>
      <c r="AD57" s="59"/>
    </row>
    <row r="58" spans="15:30">
      <c r="O58" s="59"/>
      <c r="P58" s="59"/>
      <c r="Q58" s="59"/>
      <c r="R58" s="59"/>
      <c r="S58" s="59"/>
      <c r="T58" s="59"/>
      <c r="U58" s="59"/>
      <c r="V58" s="59"/>
      <c r="W58" s="59"/>
      <c r="X58" s="59"/>
      <c r="Y58" s="59"/>
      <c r="Z58" s="59"/>
      <c r="AA58" s="59"/>
      <c r="AB58" s="59"/>
      <c r="AC58" s="59"/>
      <c r="AD58" s="59"/>
    </row>
    <row r="59" spans="15:30">
      <c r="O59" s="59"/>
      <c r="P59" s="59"/>
      <c r="Q59" s="59"/>
      <c r="R59" s="59"/>
      <c r="S59" s="59"/>
      <c r="T59" s="59"/>
      <c r="U59" s="59"/>
      <c r="V59" s="59"/>
      <c r="W59" s="59"/>
      <c r="X59" s="59"/>
      <c r="Y59" s="59"/>
      <c r="Z59" s="59"/>
      <c r="AA59" s="59"/>
      <c r="AB59" s="59"/>
      <c r="AC59" s="59"/>
      <c r="AD59" s="59"/>
    </row>
    <row r="60" spans="15:30">
      <c r="O60" s="59"/>
      <c r="P60" s="59"/>
      <c r="Q60" s="59"/>
      <c r="R60" s="59"/>
      <c r="S60" s="59"/>
      <c r="T60" s="59"/>
      <c r="U60" s="59"/>
      <c r="V60" s="59"/>
      <c r="W60" s="59"/>
      <c r="X60" s="59"/>
      <c r="Y60" s="59"/>
      <c r="Z60" s="59"/>
      <c r="AA60" s="59"/>
      <c r="AB60" s="59"/>
      <c r="AC60" s="59"/>
      <c r="AD60" s="59"/>
    </row>
    <row r="61" spans="15:30">
      <c r="O61" s="59"/>
      <c r="P61" s="59"/>
      <c r="Q61" s="59"/>
      <c r="R61" s="59"/>
      <c r="S61" s="59"/>
      <c r="T61" s="59"/>
      <c r="U61" s="59"/>
      <c r="V61" s="59"/>
      <c r="W61" s="59"/>
      <c r="X61" s="59"/>
      <c r="Y61" s="59"/>
      <c r="Z61" s="59"/>
      <c r="AA61" s="59"/>
      <c r="AB61" s="59"/>
      <c r="AC61" s="59"/>
      <c r="AD61" s="59"/>
    </row>
    <row r="62" spans="15:30">
      <c r="O62" s="59"/>
      <c r="P62" s="59"/>
      <c r="Q62" s="59"/>
      <c r="R62" s="59"/>
      <c r="S62" s="59"/>
      <c r="T62" s="59"/>
      <c r="U62" s="59"/>
      <c r="V62" s="59"/>
      <c r="W62" s="59"/>
      <c r="X62" s="59"/>
      <c r="Y62" s="59"/>
      <c r="Z62" s="59"/>
      <c r="AA62" s="59"/>
      <c r="AB62" s="59"/>
      <c r="AC62" s="59"/>
      <c r="AD62" s="59"/>
    </row>
    <row r="63" spans="15:30">
      <c r="O63" s="59"/>
      <c r="P63" s="59"/>
      <c r="Q63" s="59"/>
      <c r="R63" s="59"/>
      <c r="S63" s="59"/>
      <c r="T63" s="59"/>
      <c r="U63" s="59"/>
      <c r="V63" s="59"/>
      <c r="W63" s="59"/>
      <c r="X63" s="59"/>
      <c r="Y63" s="59"/>
      <c r="Z63" s="59"/>
      <c r="AA63" s="59"/>
      <c r="AB63" s="59"/>
      <c r="AC63" s="59"/>
      <c r="AD63" s="59"/>
    </row>
    <row r="64" spans="15:30">
      <c r="O64" s="59"/>
      <c r="P64" s="59"/>
      <c r="Q64" s="59"/>
      <c r="R64" s="59"/>
      <c r="S64" s="59"/>
      <c r="T64" s="59"/>
      <c r="U64" s="59"/>
      <c r="V64" s="59"/>
      <c r="W64" s="59"/>
      <c r="X64" s="59"/>
      <c r="Y64" s="59"/>
      <c r="Z64" s="59"/>
      <c r="AA64" s="59"/>
      <c r="AB64" s="59"/>
      <c r="AC64" s="59"/>
      <c r="AD64" s="59"/>
    </row>
    <row r="65" spans="15:30">
      <c r="O65" s="59"/>
      <c r="P65" s="59"/>
      <c r="Q65" s="59"/>
      <c r="R65" s="59"/>
      <c r="S65" s="59"/>
      <c r="T65" s="59"/>
      <c r="U65" s="59"/>
      <c r="V65" s="59"/>
      <c r="W65" s="59"/>
      <c r="X65" s="59"/>
      <c r="Y65" s="59"/>
      <c r="Z65" s="59"/>
      <c r="AA65" s="59"/>
      <c r="AB65" s="59"/>
      <c r="AC65" s="59"/>
      <c r="AD65" s="59"/>
    </row>
    <row r="66" spans="15:30">
      <c r="O66" s="59"/>
      <c r="P66" s="59"/>
      <c r="Q66" s="59"/>
      <c r="R66" s="59"/>
      <c r="S66" s="59"/>
      <c r="T66" s="59"/>
      <c r="U66" s="59"/>
      <c r="V66" s="59"/>
      <c r="W66" s="59"/>
      <c r="X66" s="59"/>
      <c r="Y66" s="59"/>
      <c r="Z66" s="59"/>
      <c r="AA66" s="59"/>
      <c r="AB66" s="59"/>
      <c r="AC66" s="59"/>
      <c r="AD66" s="59"/>
    </row>
    <row r="67" spans="15:30">
      <c r="O67" s="59"/>
      <c r="P67" s="59"/>
      <c r="Q67" s="59"/>
      <c r="R67" s="59"/>
      <c r="S67" s="59"/>
      <c r="T67" s="59"/>
      <c r="U67" s="59"/>
      <c r="V67" s="59"/>
      <c r="W67" s="59"/>
      <c r="X67" s="59"/>
      <c r="Y67" s="59"/>
      <c r="Z67" s="59"/>
      <c r="AA67" s="59"/>
      <c r="AB67" s="59"/>
      <c r="AC67" s="59"/>
      <c r="AD67" s="59"/>
    </row>
    <row r="68" spans="15:30">
      <c r="O68" s="59"/>
      <c r="P68" s="59"/>
      <c r="Q68" s="59"/>
      <c r="R68" s="59"/>
      <c r="S68" s="59"/>
      <c r="T68" s="59"/>
      <c r="U68" s="59"/>
      <c r="V68" s="59"/>
      <c r="W68" s="59"/>
      <c r="X68" s="59"/>
      <c r="Y68" s="59"/>
      <c r="Z68" s="59"/>
      <c r="AA68" s="59"/>
      <c r="AB68" s="59"/>
      <c r="AC68" s="59"/>
      <c r="AD68" s="59"/>
    </row>
    <row r="69" spans="15:30">
      <c r="O69" s="59"/>
      <c r="P69" s="59"/>
      <c r="Q69" s="59"/>
      <c r="R69" s="59"/>
      <c r="S69" s="59"/>
      <c r="T69" s="59"/>
      <c r="U69" s="59"/>
      <c r="V69" s="59"/>
      <c r="W69" s="59"/>
      <c r="X69" s="59"/>
      <c r="Y69" s="59"/>
      <c r="Z69" s="59"/>
      <c r="AA69" s="59"/>
      <c r="AB69" s="59"/>
      <c r="AC69" s="59"/>
      <c r="AD69" s="59"/>
    </row>
    <row r="70" spans="15:30">
      <c r="O70" s="59"/>
      <c r="P70" s="59"/>
      <c r="Q70" s="59"/>
      <c r="R70" s="59"/>
      <c r="S70" s="59"/>
      <c r="T70" s="59"/>
      <c r="U70" s="59"/>
      <c r="V70" s="59"/>
      <c r="W70" s="59"/>
      <c r="X70" s="59"/>
      <c r="Y70" s="59"/>
      <c r="Z70" s="59"/>
      <c r="AA70" s="59"/>
      <c r="AB70" s="59"/>
      <c r="AC70" s="59"/>
      <c r="AD70" s="59"/>
    </row>
    <row r="71" spans="15:30">
      <c r="O71" s="59"/>
      <c r="P71" s="59"/>
      <c r="Q71" s="59"/>
      <c r="R71" s="59"/>
      <c r="S71" s="59"/>
      <c r="T71" s="59"/>
      <c r="U71" s="59"/>
      <c r="V71" s="59"/>
      <c r="W71" s="59"/>
      <c r="X71" s="59"/>
      <c r="Y71" s="59"/>
      <c r="Z71" s="59"/>
      <c r="AA71" s="59"/>
      <c r="AB71" s="59"/>
      <c r="AC71" s="59"/>
      <c r="AD71" s="59"/>
    </row>
    <row r="72" spans="15:30">
      <c r="O72" s="59"/>
      <c r="P72" s="59"/>
      <c r="Q72" s="59"/>
      <c r="R72" s="59"/>
      <c r="S72" s="59"/>
      <c r="T72" s="59"/>
      <c r="U72" s="59"/>
      <c r="V72" s="59"/>
      <c r="W72" s="59"/>
      <c r="X72" s="59"/>
      <c r="Y72" s="59"/>
      <c r="Z72" s="59"/>
      <c r="AA72" s="59"/>
      <c r="AB72" s="59"/>
      <c r="AC72" s="59"/>
      <c r="AD72" s="59"/>
    </row>
    <row r="73" spans="15:30">
      <c r="O73" s="59"/>
      <c r="P73" s="59"/>
      <c r="Q73" s="59"/>
      <c r="R73" s="59"/>
      <c r="S73" s="59"/>
      <c r="T73" s="59"/>
      <c r="U73" s="59"/>
      <c r="V73" s="59"/>
      <c r="W73" s="59"/>
      <c r="X73" s="59"/>
      <c r="Y73" s="59"/>
      <c r="Z73" s="59"/>
      <c r="AA73" s="59"/>
      <c r="AB73" s="59"/>
      <c r="AC73" s="59"/>
      <c r="AD73" s="59"/>
    </row>
    <row r="74" spans="15:30">
      <c r="O74" s="59"/>
      <c r="P74" s="59"/>
      <c r="Q74" s="59"/>
      <c r="R74" s="59"/>
      <c r="S74" s="59"/>
      <c r="T74" s="59"/>
      <c r="U74" s="59"/>
      <c r="V74" s="59"/>
      <c r="W74" s="59"/>
      <c r="X74" s="59"/>
      <c r="Y74" s="59"/>
      <c r="Z74" s="59"/>
      <c r="AA74" s="59"/>
      <c r="AB74" s="59"/>
      <c r="AC74" s="59"/>
      <c r="AD74" s="59"/>
    </row>
    <row r="75" spans="15:30">
      <c r="O75" s="59"/>
      <c r="P75" s="59"/>
      <c r="Q75" s="59"/>
      <c r="R75" s="59"/>
      <c r="S75" s="59"/>
      <c r="T75" s="59"/>
      <c r="U75" s="59"/>
      <c r="V75" s="59"/>
      <c r="W75" s="59"/>
      <c r="X75" s="59"/>
      <c r="Y75" s="59"/>
      <c r="Z75" s="59"/>
      <c r="AA75" s="59"/>
      <c r="AB75" s="59"/>
      <c r="AC75" s="59"/>
      <c r="AD75" s="59"/>
    </row>
    <row r="76" spans="15:30">
      <c r="O76" s="59"/>
      <c r="P76" s="59"/>
      <c r="Q76" s="59"/>
      <c r="R76" s="59"/>
      <c r="S76" s="59"/>
      <c r="T76" s="59"/>
      <c r="U76" s="59"/>
      <c r="V76" s="59"/>
      <c r="W76" s="59"/>
      <c r="X76" s="59"/>
      <c r="Y76" s="59"/>
      <c r="Z76" s="59"/>
      <c r="AA76" s="59"/>
      <c r="AB76" s="59"/>
      <c r="AC76" s="59"/>
      <c r="AD76" s="59"/>
    </row>
    <row r="77" spans="15:30">
      <c r="O77" s="59"/>
      <c r="P77" s="59"/>
      <c r="Q77" s="59"/>
      <c r="R77" s="59"/>
      <c r="S77" s="59"/>
      <c r="T77" s="59"/>
      <c r="U77" s="59"/>
      <c r="V77" s="59"/>
      <c r="W77" s="59"/>
      <c r="X77" s="59"/>
      <c r="Y77" s="59"/>
      <c r="Z77" s="59"/>
      <c r="AA77" s="59"/>
      <c r="AB77" s="59"/>
      <c r="AC77" s="59"/>
      <c r="AD77" s="59"/>
    </row>
    <row r="78" spans="15:30">
      <c r="O78" s="59"/>
      <c r="P78" s="59"/>
      <c r="Q78" s="59"/>
      <c r="R78" s="59"/>
      <c r="S78" s="59"/>
      <c r="T78" s="59"/>
      <c r="U78" s="59"/>
      <c r="V78" s="59"/>
      <c r="W78" s="59"/>
      <c r="X78" s="59"/>
      <c r="Y78" s="59"/>
      <c r="Z78" s="59"/>
      <c r="AA78" s="59"/>
      <c r="AB78" s="59"/>
      <c r="AC78" s="59"/>
      <c r="AD78" s="59"/>
    </row>
    <row r="79" spans="15:30">
      <c r="O79" s="59"/>
      <c r="P79" s="59"/>
      <c r="Q79" s="59"/>
      <c r="R79" s="59"/>
      <c r="S79" s="59"/>
      <c r="T79" s="59"/>
      <c r="U79" s="59"/>
      <c r="V79" s="59"/>
      <c r="W79" s="59"/>
      <c r="X79" s="59"/>
      <c r="Y79" s="59"/>
      <c r="Z79" s="59"/>
      <c r="AA79" s="59"/>
      <c r="AB79" s="59"/>
      <c r="AC79" s="59"/>
      <c r="AD79" s="59"/>
    </row>
    <row r="80" spans="15:30">
      <c r="O80" s="59"/>
      <c r="P80" s="59"/>
      <c r="Q80" s="59"/>
      <c r="R80" s="59"/>
      <c r="S80" s="59"/>
      <c r="T80" s="59"/>
      <c r="U80" s="59"/>
      <c r="V80" s="59"/>
      <c r="W80" s="59"/>
      <c r="X80" s="59"/>
      <c r="Y80" s="59"/>
      <c r="Z80" s="59"/>
      <c r="AA80" s="59"/>
      <c r="AB80" s="59"/>
      <c r="AC80" s="59"/>
      <c r="AD80" s="59"/>
    </row>
    <row r="81" spans="8:30">
      <c r="O81" s="59"/>
      <c r="P81" s="59"/>
      <c r="Q81" s="59"/>
      <c r="R81" s="59"/>
      <c r="S81" s="59"/>
      <c r="T81" s="59"/>
      <c r="U81" s="59"/>
      <c r="V81" s="59"/>
      <c r="W81" s="59"/>
      <c r="X81" s="59"/>
      <c r="Y81" s="59"/>
      <c r="Z81" s="59"/>
      <c r="AA81" s="59"/>
      <c r="AB81" s="59"/>
      <c r="AC81" s="59"/>
      <c r="AD81" s="59"/>
    </row>
    <row r="82" spans="8:30">
      <c r="O82" s="59"/>
      <c r="P82" s="59"/>
      <c r="Q82" s="59"/>
      <c r="R82" s="59"/>
      <c r="S82" s="59"/>
      <c r="T82" s="59"/>
      <c r="U82" s="59"/>
      <c r="V82" s="59"/>
      <c r="W82" s="59"/>
      <c r="X82" s="59"/>
      <c r="Y82" s="59"/>
      <c r="Z82" s="59"/>
      <c r="AA82" s="59"/>
      <c r="AB82" s="59"/>
      <c r="AC82" s="59"/>
      <c r="AD82" s="59"/>
    </row>
    <row r="83" spans="8:30">
      <c r="O83" s="59"/>
      <c r="P83" s="59"/>
      <c r="Q83" s="59"/>
      <c r="R83" s="59"/>
      <c r="S83" s="59"/>
      <c r="T83" s="59"/>
      <c r="U83" s="59"/>
      <c r="V83" s="59"/>
      <c r="W83" s="59"/>
      <c r="X83" s="59"/>
      <c r="Y83" s="59"/>
      <c r="Z83" s="59"/>
      <c r="AA83" s="59"/>
      <c r="AB83" s="59"/>
      <c r="AC83" s="59"/>
      <c r="AD83" s="59"/>
    </row>
    <row r="84" spans="8:30">
      <c r="O84" s="59"/>
      <c r="P84" s="59"/>
      <c r="Q84" s="59"/>
      <c r="R84" s="59"/>
      <c r="S84" s="59"/>
      <c r="T84" s="59"/>
      <c r="U84" s="59"/>
      <c r="V84" s="59"/>
      <c r="W84" s="59"/>
      <c r="X84" s="59"/>
      <c r="Y84" s="59"/>
      <c r="Z84" s="59"/>
      <c r="AA84" s="59"/>
      <c r="AB84" s="59"/>
      <c r="AC84" s="59"/>
      <c r="AD84" s="59"/>
    </row>
    <row r="85" spans="8:30">
      <c r="O85" s="59"/>
      <c r="P85" s="59"/>
      <c r="Q85" s="59"/>
      <c r="R85" s="59"/>
      <c r="S85" s="59"/>
      <c r="T85" s="59"/>
      <c r="U85" s="59"/>
      <c r="V85" s="59"/>
      <c r="W85" s="59"/>
      <c r="X85" s="59"/>
      <c r="Y85" s="59"/>
      <c r="Z85" s="59"/>
      <c r="AA85" s="59"/>
      <c r="AB85" s="59"/>
      <c r="AC85" s="59"/>
      <c r="AD85" s="59"/>
    </row>
    <row r="86" spans="8:30">
      <c r="O86" s="59"/>
      <c r="P86" s="59"/>
      <c r="Q86" s="59"/>
      <c r="R86" s="59"/>
      <c r="S86" s="59"/>
      <c r="T86" s="59"/>
      <c r="U86" s="59"/>
      <c r="V86" s="59"/>
      <c r="W86" s="59"/>
      <c r="X86" s="59"/>
      <c r="Y86" s="59"/>
      <c r="Z86" s="59"/>
      <c r="AA86" s="59"/>
      <c r="AB86" s="59"/>
      <c r="AC86" s="59"/>
      <c r="AD86" s="59"/>
    </row>
    <row r="87" spans="8:30">
      <c r="O87" s="59"/>
      <c r="P87" s="59"/>
      <c r="Q87" s="59"/>
      <c r="R87" s="59"/>
      <c r="S87" s="59"/>
      <c r="T87" s="59"/>
      <c r="U87" s="59"/>
      <c r="V87" s="59"/>
      <c r="W87" s="59"/>
      <c r="X87" s="59"/>
      <c r="Y87" s="59"/>
      <c r="Z87" s="59"/>
      <c r="AA87" s="59"/>
      <c r="AB87" s="59"/>
      <c r="AC87" s="59"/>
      <c r="AD87" s="59"/>
    </row>
    <row r="88" spans="8:30">
      <c r="O88" s="59"/>
      <c r="P88" s="59"/>
      <c r="Q88" s="59"/>
      <c r="R88" s="59"/>
      <c r="S88" s="59"/>
      <c r="T88" s="59"/>
      <c r="U88" s="59"/>
      <c r="V88" s="59"/>
      <c r="W88" s="59"/>
      <c r="X88" s="59"/>
      <c r="Y88" s="59"/>
      <c r="Z88" s="59"/>
      <c r="AA88" s="59"/>
      <c r="AB88" s="59"/>
      <c r="AC88" s="59"/>
      <c r="AD88" s="59"/>
    </row>
    <row r="89" spans="8:30">
      <c r="I89" s="60"/>
      <c r="J89" s="60"/>
      <c r="K89" s="60"/>
      <c r="L89" s="60"/>
      <c r="M89" s="60"/>
      <c r="N89" s="60"/>
      <c r="O89" s="60"/>
      <c r="P89" s="60"/>
      <c r="Q89" s="60"/>
      <c r="R89" s="60"/>
      <c r="S89" s="60"/>
      <c r="T89" s="60"/>
      <c r="U89" s="59"/>
      <c r="V89" s="59"/>
      <c r="W89" s="59"/>
      <c r="X89" s="59"/>
      <c r="Y89" s="59"/>
      <c r="Z89" s="59"/>
      <c r="AA89" s="59"/>
      <c r="AB89" s="59"/>
      <c r="AC89" s="59"/>
      <c r="AD89" s="59"/>
    </row>
    <row r="90" spans="8:30">
      <c r="H90" s="57"/>
      <c r="I90" s="60"/>
      <c r="J90" s="60"/>
      <c r="K90" s="60"/>
      <c r="L90" s="60"/>
      <c r="M90" s="60"/>
      <c r="N90" s="60"/>
      <c r="O90" s="60"/>
      <c r="P90" s="60"/>
      <c r="Q90" s="60"/>
      <c r="R90" s="60"/>
      <c r="S90" s="60"/>
      <c r="T90" s="60"/>
      <c r="U90" s="59"/>
      <c r="V90" s="59"/>
      <c r="W90" s="59"/>
      <c r="X90" s="59"/>
      <c r="Y90" s="59"/>
      <c r="Z90" s="59"/>
      <c r="AA90" s="59"/>
      <c r="AB90" s="59"/>
      <c r="AC90" s="59"/>
      <c r="AD90" s="59"/>
    </row>
    <row r="91" spans="8:30">
      <c r="H91" s="57"/>
      <c r="I91" s="60"/>
      <c r="J91" s="60"/>
      <c r="K91" s="60"/>
      <c r="L91" s="60"/>
      <c r="M91" s="60"/>
      <c r="N91" s="60"/>
      <c r="O91" s="60"/>
      <c r="P91" s="60"/>
      <c r="Q91" s="60"/>
      <c r="R91" s="60"/>
      <c r="S91" s="60"/>
      <c r="T91" s="60"/>
      <c r="U91" s="59"/>
      <c r="V91" s="59"/>
      <c r="W91" s="59"/>
      <c r="X91" s="59"/>
      <c r="Y91" s="59"/>
      <c r="Z91" s="59"/>
      <c r="AA91" s="59"/>
      <c r="AB91" s="59"/>
      <c r="AC91" s="59"/>
      <c r="AD91" s="59"/>
    </row>
    <row r="92" spans="8:30">
      <c r="H92" s="57"/>
      <c r="I92" s="58"/>
      <c r="J92" s="58"/>
      <c r="K92" s="58"/>
      <c r="L92" s="58"/>
      <c r="M92" s="58"/>
      <c r="N92" s="58"/>
      <c r="O92" s="58"/>
      <c r="P92" s="58"/>
      <c r="Q92" s="58"/>
      <c r="R92" s="58"/>
      <c r="S92" s="58"/>
      <c r="T92" s="58"/>
      <c r="V92" s="59"/>
      <c r="W92" s="59"/>
      <c r="X92" s="59"/>
      <c r="Y92" s="59"/>
      <c r="Z92" s="59"/>
      <c r="AA92" s="59"/>
      <c r="AB92" s="59"/>
      <c r="AC92" s="59"/>
      <c r="AD92" s="59"/>
    </row>
    <row r="93" spans="8:30">
      <c r="H93" s="57"/>
      <c r="I93" s="58"/>
      <c r="J93" s="58"/>
      <c r="K93" s="58"/>
      <c r="L93" s="58"/>
      <c r="M93" s="58"/>
      <c r="N93" s="58"/>
      <c r="O93" s="58"/>
      <c r="P93" s="58"/>
      <c r="Q93" s="58"/>
      <c r="R93" s="58"/>
      <c r="S93" s="58"/>
      <c r="T93" s="58"/>
      <c r="V93" s="59"/>
      <c r="W93" s="59"/>
      <c r="X93" s="59"/>
      <c r="Y93" s="59"/>
      <c r="Z93" s="59"/>
      <c r="AA93" s="59"/>
      <c r="AB93" s="59"/>
      <c r="AC93" s="59"/>
      <c r="AD93" s="59"/>
    </row>
    <row r="94" spans="8:30">
      <c r="H94" s="57"/>
      <c r="I94" s="58"/>
      <c r="J94" s="58"/>
      <c r="K94" s="58"/>
      <c r="L94" s="58"/>
      <c r="M94" s="58"/>
      <c r="N94" s="58"/>
      <c r="O94" s="58"/>
      <c r="P94" s="58"/>
      <c r="Q94" s="58"/>
      <c r="R94" s="58"/>
      <c r="S94" s="58"/>
      <c r="T94" s="58"/>
      <c r="V94" s="59"/>
      <c r="W94" s="59"/>
      <c r="X94" s="59"/>
      <c r="Y94" s="59"/>
      <c r="Z94" s="59"/>
      <c r="AA94" s="59"/>
      <c r="AB94" s="59"/>
      <c r="AC94" s="59"/>
      <c r="AD94" s="59"/>
    </row>
    <row r="95" spans="8:30">
      <c r="H95" s="57"/>
      <c r="I95" s="58"/>
      <c r="J95" s="58"/>
      <c r="K95" s="58"/>
      <c r="L95" s="58"/>
      <c r="M95" s="58"/>
      <c r="N95" s="58"/>
      <c r="O95" s="58"/>
      <c r="P95" s="58"/>
      <c r="Q95" s="58"/>
      <c r="R95" s="58"/>
      <c r="S95" s="58"/>
      <c r="T95" s="58"/>
      <c r="V95" s="59"/>
      <c r="W95" s="59"/>
      <c r="X95" s="59"/>
      <c r="Y95" s="59"/>
      <c r="Z95" s="59"/>
      <c r="AA95" s="59"/>
      <c r="AB95" s="59"/>
      <c r="AC95" s="59"/>
      <c r="AD95" s="59"/>
    </row>
    <row r="96" spans="8:30">
      <c r="H96" s="57"/>
      <c r="I96" s="60"/>
      <c r="J96" s="60"/>
      <c r="K96" s="60"/>
      <c r="L96" s="60"/>
      <c r="M96" s="60"/>
      <c r="N96" s="60"/>
      <c r="O96" s="60"/>
      <c r="P96" s="60"/>
      <c r="Q96" s="60"/>
      <c r="R96" s="60"/>
      <c r="S96" s="58"/>
      <c r="T96" s="58"/>
      <c r="V96" s="59"/>
      <c r="W96" s="59"/>
      <c r="X96" s="59"/>
      <c r="Y96" s="59"/>
      <c r="Z96" s="59"/>
      <c r="AA96" s="59"/>
      <c r="AB96" s="59"/>
      <c r="AC96" s="59"/>
      <c r="AD96" s="59"/>
    </row>
    <row r="97" spans="8:30">
      <c r="H97" s="57"/>
      <c r="I97" s="60"/>
      <c r="J97" s="60"/>
      <c r="K97" s="60"/>
      <c r="L97" s="60"/>
      <c r="M97" s="60"/>
      <c r="N97" s="60"/>
      <c r="O97" s="60"/>
      <c r="P97" s="60"/>
      <c r="Q97" s="60"/>
      <c r="R97" s="60"/>
      <c r="S97" s="58"/>
      <c r="T97" s="58"/>
      <c r="V97" s="59"/>
      <c r="W97" s="59"/>
      <c r="X97" s="59"/>
      <c r="Y97" s="59"/>
      <c r="Z97" s="59"/>
      <c r="AA97" s="59"/>
      <c r="AB97" s="59"/>
      <c r="AC97" s="59"/>
      <c r="AD97" s="59"/>
    </row>
    <row r="98" spans="8:30">
      <c r="H98" s="57"/>
      <c r="I98" s="60"/>
      <c r="J98" s="60"/>
      <c r="K98" s="60"/>
      <c r="L98" s="60"/>
      <c r="M98" s="60"/>
      <c r="N98" s="60"/>
      <c r="O98" s="60"/>
      <c r="P98" s="60"/>
      <c r="Q98" s="60"/>
      <c r="R98" s="60"/>
      <c r="S98" s="58"/>
      <c r="T98" s="58"/>
      <c r="V98" s="59"/>
      <c r="W98" s="59"/>
      <c r="X98" s="59"/>
      <c r="Y98" s="59"/>
      <c r="Z98" s="59"/>
      <c r="AA98" s="59"/>
      <c r="AB98" s="59"/>
      <c r="AC98" s="59"/>
      <c r="AD98" s="59"/>
    </row>
    <row r="99" spans="8:30" ht="15.5">
      <c r="H99" s="57"/>
      <c r="I99" s="60"/>
      <c r="J99" s="60"/>
      <c r="K99" s="60"/>
      <c r="L99" s="60"/>
      <c r="M99" s="60"/>
      <c r="N99" s="60"/>
      <c r="O99" s="2433" t="s">
        <v>850</v>
      </c>
      <c r="P99" s="2433"/>
      <c r="Q99" s="2433"/>
      <c r="R99" s="60"/>
      <c r="S99" s="58"/>
      <c r="T99" s="58"/>
      <c r="V99" s="59"/>
      <c r="W99" s="59"/>
      <c r="X99" s="59"/>
      <c r="Y99" s="59"/>
      <c r="Z99" s="59"/>
      <c r="AA99" s="59"/>
      <c r="AB99" s="59"/>
      <c r="AC99" s="59"/>
      <c r="AD99" s="59"/>
    </row>
    <row r="100" spans="8:30" ht="15.5">
      <c r="H100" s="57"/>
      <c r="I100" s="60"/>
      <c r="J100" s="60"/>
      <c r="K100" s="2434" t="s">
        <v>851</v>
      </c>
      <c r="L100" s="2434"/>
      <c r="M100" s="2434"/>
      <c r="N100" s="60"/>
      <c r="O100" s="2435" t="str">
        <f>[5]Controle!H2</f>
        <v>31/06/2025</v>
      </c>
      <c r="P100" s="2435"/>
      <c r="Q100" s="2435"/>
      <c r="R100" s="60"/>
      <c r="S100" s="58"/>
      <c r="T100" s="58"/>
      <c r="V100" s="59"/>
      <c r="W100" s="59"/>
      <c r="X100" s="59"/>
      <c r="Y100" s="59"/>
      <c r="Z100" s="59"/>
      <c r="AA100" s="59"/>
      <c r="AB100" s="59"/>
      <c r="AC100" s="59"/>
      <c r="AD100" s="59"/>
    </row>
    <row r="101" spans="8:30" ht="15.5">
      <c r="H101" s="57"/>
      <c r="I101" s="60"/>
      <c r="J101" s="60"/>
      <c r="K101" s="99"/>
      <c r="L101" s="721">
        <f ca="1">'14 Pers.'!H31</f>
        <v>0</v>
      </c>
      <c r="M101" s="99"/>
      <c r="N101" s="100"/>
      <c r="O101" s="60"/>
      <c r="P101" s="60"/>
      <c r="Q101" s="60"/>
      <c r="R101" s="60"/>
      <c r="S101" s="58"/>
      <c r="T101" s="58"/>
      <c r="V101" s="59"/>
      <c r="W101" s="59"/>
      <c r="X101" s="59"/>
      <c r="Y101" s="59"/>
      <c r="Z101" s="59"/>
      <c r="AA101" s="59"/>
      <c r="AB101" s="59"/>
      <c r="AC101" s="59"/>
      <c r="AD101" s="59"/>
    </row>
    <row r="102" spans="8:30" ht="15.5">
      <c r="H102" s="57"/>
      <c r="I102" s="60"/>
      <c r="J102" s="60"/>
      <c r="K102" s="60"/>
      <c r="L102" s="60"/>
      <c r="M102" s="60"/>
      <c r="N102" s="60"/>
      <c r="O102" s="2447" t="s">
        <v>852</v>
      </c>
      <c r="P102" s="2447"/>
      <c r="Q102" s="2447"/>
      <c r="R102" s="60"/>
      <c r="S102" s="58"/>
      <c r="T102" s="58"/>
      <c r="V102" s="59"/>
      <c r="W102" s="59"/>
      <c r="X102" s="59"/>
      <c r="Y102" s="59"/>
      <c r="Z102" s="59"/>
      <c r="AA102" s="59"/>
      <c r="AB102" s="59"/>
      <c r="AC102" s="59"/>
      <c r="AD102" s="59"/>
    </row>
    <row r="103" spans="8:30" ht="15.5">
      <c r="H103" s="57"/>
      <c r="I103" s="60"/>
      <c r="J103" s="60"/>
      <c r="K103" s="60"/>
      <c r="L103" s="60"/>
      <c r="M103" s="60"/>
      <c r="N103" s="60"/>
      <c r="O103" s="2448">
        <f ca="1">IF(TODAY()&lt;O100,L101,2)</f>
        <v>0</v>
      </c>
      <c r="P103" s="2448"/>
      <c r="Q103" s="2448"/>
      <c r="R103" s="60"/>
      <c r="S103" s="58"/>
      <c r="T103" s="58"/>
      <c r="V103" s="59"/>
      <c r="W103" s="59"/>
      <c r="X103" s="59"/>
      <c r="Y103" s="59"/>
      <c r="Z103" s="59"/>
      <c r="AA103" s="59"/>
      <c r="AB103" s="59"/>
      <c r="AC103" s="59"/>
      <c r="AD103" s="59"/>
    </row>
    <row r="104" spans="8:30">
      <c r="H104" s="57"/>
      <c r="I104" s="60"/>
      <c r="J104" s="60"/>
      <c r="K104" s="2449" t="s">
        <v>853</v>
      </c>
      <c r="L104" s="2449"/>
      <c r="M104" s="2449"/>
      <c r="N104" s="60"/>
      <c r="O104" s="60"/>
      <c r="P104" s="60"/>
      <c r="Q104" s="60"/>
      <c r="R104" s="60"/>
      <c r="S104" s="58"/>
      <c r="T104" s="58"/>
    </row>
    <row r="105" spans="8:30" ht="15.5">
      <c r="H105" s="57"/>
      <c r="I105" s="60"/>
      <c r="J105" s="60"/>
      <c r="K105" s="2448">
        <f ca="1">O103</f>
        <v>0</v>
      </c>
      <c r="L105" s="2448"/>
      <c r="M105" s="2448"/>
      <c r="N105" s="60"/>
      <c r="O105" s="60"/>
      <c r="P105" s="60" t="s">
        <v>134</v>
      </c>
      <c r="Q105" s="60"/>
      <c r="R105" s="60"/>
      <c r="S105" s="58"/>
      <c r="T105" s="58"/>
    </row>
    <row r="106" spans="8:30">
      <c r="H106" s="57"/>
      <c r="I106" s="60"/>
      <c r="J106" s="60"/>
      <c r="K106" s="60"/>
      <c r="L106" s="60"/>
      <c r="M106" s="60"/>
      <c r="N106" s="60"/>
      <c r="O106" s="60"/>
      <c r="P106" s="2437"/>
      <c r="Q106" s="2437"/>
      <c r="R106" s="2437"/>
      <c r="S106" s="58"/>
      <c r="T106" s="58"/>
    </row>
    <row r="107" spans="8:30">
      <c r="H107" s="57"/>
      <c r="I107" s="60"/>
      <c r="J107" s="60"/>
      <c r="K107" s="60"/>
      <c r="L107" s="60"/>
      <c r="M107" s="60"/>
      <c r="N107" s="60"/>
      <c r="O107" s="60"/>
      <c r="P107" s="60"/>
      <c r="Q107" s="60"/>
      <c r="R107" s="60"/>
      <c r="S107" s="58"/>
      <c r="T107" s="58"/>
    </row>
    <row r="108" spans="8:30">
      <c r="H108" s="57"/>
      <c r="I108" s="60"/>
      <c r="J108" s="60"/>
      <c r="K108" s="60"/>
      <c r="L108" s="60"/>
      <c r="M108" s="60"/>
      <c r="N108" s="60"/>
      <c r="O108" s="60"/>
      <c r="P108" s="60"/>
      <c r="Q108" s="60"/>
      <c r="R108" s="60"/>
    </row>
    <row r="109" spans="8:30">
      <c r="H109" s="57"/>
      <c r="I109" s="60"/>
      <c r="J109" s="60"/>
      <c r="K109" s="60"/>
      <c r="L109" s="60"/>
      <c r="M109" s="60"/>
      <c r="N109" s="60"/>
      <c r="O109" s="60"/>
      <c r="P109" s="60"/>
      <c r="Q109" s="60"/>
      <c r="R109" s="60"/>
    </row>
    <row r="110" spans="8:30">
      <c r="H110" s="57"/>
      <c r="I110" s="60"/>
      <c r="J110" s="60"/>
      <c r="K110" s="60"/>
      <c r="L110" s="60"/>
      <c r="M110" s="60"/>
      <c r="N110" s="60"/>
      <c r="O110" s="60"/>
      <c r="P110" s="60"/>
      <c r="Q110" s="60"/>
      <c r="R110" s="60"/>
    </row>
    <row r="111" spans="8:30">
      <c r="H111" s="57"/>
      <c r="I111" s="57"/>
      <c r="J111" s="57"/>
      <c r="K111" s="57"/>
      <c r="L111" s="57"/>
      <c r="M111" s="57"/>
      <c r="N111" s="57"/>
      <c r="O111" s="57"/>
      <c r="P111" s="57"/>
      <c r="Q111" s="57"/>
      <c r="R111" s="57"/>
    </row>
    <row r="112" spans="8:30">
      <c r="H112" s="57"/>
      <c r="I112" s="57"/>
      <c r="J112" s="57"/>
      <c r="K112" s="57"/>
      <c r="L112" s="57"/>
      <c r="M112" s="57"/>
      <c r="N112" s="57"/>
      <c r="O112" s="57"/>
      <c r="P112" s="57"/>
      <c r="Q112" s="57"/>
      <c r="R112" s="57"/>
    </row>
    <row r="113" spans="8:18">
      <c r="H113" s="57"/>
      <c r="I113" s="57"/>
      <c r="J113" s="57"/>
      <c r="K113" s="57"/>
      <c r="L113" s="57"/>
      <c r="M113" s="57"/>
      <c r="N113" s="57"/>
      <c r="O113" s="57"/>
      <c r="P113" s="57"/>
      <c r="Q113" s="57"/>
      <c r="R113" s="57"/>
    </row>
  </sheetData>
  <sheetProtection algorithmName="SHA-512" hashValue="zxam2Qfix71polvmGXTG6ElMryHYa/qQCnp4AzGUoGAu+6apLZYPE1+qZvUWvWk1ppHO81qfK2n4oXrY2QVzFg==" saltValue="C6cTwm46A4iI/Q5myVrYGg==" spinCount="100000" sheet="1" objects="1" scenarios="1" sort="0" autoFilter="0" pivotTables="0"/>
  <mergeCells count="16">
    <mergeCell ref="P106:R106"/>
    <mergeCell ref="A2:G2"/>
    <mergeCell ref="T2:U2"/>
    <mergeCell ref="V2:W2"/>
    <mergeCell ref="Y2:Z2"/>
    <mergeCell ref="Q2:R2"/>
    <mergeCell ref="O102:Q102"/>
    <mergeCell ref="O103:Q103"/>
    <mergeCell ref="K104:M104"/>
    <mergeCell ref="K105:M105"/>
    <mergeCell ref="Y1:Z1"/>
    <mergeCell ref="T1:U1"/>
    <mergeCell ref="O99:Q99"/>
    <mergeCell ref="K100:M100"/>
    <mergeCell ref="O100:Q100"/>
    <mergeCell ref="L45:P45"/>
  </mergeCells>
  <pageMargins left="0.511811024" right="0.511811024" top="0.78740157499999996" bottom="0.78740157499999996" header="0.31496062000000002" footer="0.31496062000000002"/>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12">
    <tabColor rgb="FF00B0F0"/>
  </sheetPr>
  <dimension ref="A1:U40"/>
  <sheetViews>
    <sheetView topLeftCell="F1" workbookViewId="0">
      <selection activeCell="W18" sqref="W18"/>
    </sheetView>
  </sheetViews>
  <sheetFormatPr defaultColWidth="9.1796875" defaultRowHeight="12.5"/>
  <cols>
    <col min="1" max="1" width="3" style="55" bestFit="1" customWidth="1"/>
    <col min="2" max="2" width="11.26953125" style="55" bestFit="1" customWidth="1"/>
    <col min="3" max="4" width="9.1796875" style="55"/>
    <col min="5" max="5" width="11.26953125" style="55" bestFit="1" customWidth="1"/>
    <col min="6" max="6" width="10.1796875" style="55" bestFit="1" customWidth="1"/>
    <col min="7" max="7" width="11.26953125" style="55" bestFit="1" customWidth="1"/>
    <col min="8" max="8" width="2" style="55" customWidth="1"/>
    <col min="9" max="9" width="11.26953125" style="55" bestFit="1" customWidth="1"/>
    <col min="10" max="11" width="9.1796875" style="55"/>
    <col min="12" max="12" width="10.1796875" style="55" bestFit="1" customWidth="1"/>
    <col min="13" max="13" width="11.26953125" style="55" bestFit="1" customWidth="1"/>
    <col min="14" max="14" width="1.81640625" style="55" customWidth="1"/>
    <col min="15" max="16" width="16" style="55" bestFit="1" customWidth="1"/>
    <col min="17" max="17" width="11.26953125" style="55" bestFit="1" customWidth="1"/>
    <col min="18" max="18" width="10.26953125" style="55" bestFit="1" customWidth="1"/>
    <col min="19" max="19" width="2" style="55" customWidth="1"/>
    <col min="20" max="20" width="19.453125" style="55" bestFit="1" customWidth="1"/>
    <col min="21" max="21" width="10.26953125" style="55" bestFit="1" customWidth="1"/>
    <col min="22" max="16384" width="9.1796875" style="55"/>
  </cols>
  <sheetData>
    <row r="1" spans="1:21" ht="13" thickBot="1">
      <c r="M1" s="90">
        <f>'Losango 30'!M1</f>
        <v>0</v>
      </c>
      <c r="T1" s="2431" t="s">
        <v>833</v>
      </c>
      <c r="U1" s="2432"/>
    </row>
    <row r="2" spans="1:21" ht="13" thickBot="1">
      <c r="A2" s="2438" t="s">
        <v>854</v>
      </c>
      <c r="B2" s="2439"/>
      <c r="C2" s="2439"/>
      <c r="D2" s="2439"/>
      <c r="E2" s="2439"/>
      <c r="F2" s="2439"/>
      <c r="G2" s="2440"/>
      <c r="H2" s="58"/>
      <c r="I2" s="95"/>
      <c r="J2" s="94" t="s">
        <v>855</v>
      </c>
      <c r="K2" s="94"/>
      <c r="L2" s="94" t="s">
        <v>836</v>
      </c>
      <c r="M2" s="93"/>
      <c r="O2" s="85" t="s">
        <v>856</v>
      </c>
      <c r="P2" s="85" t="s">
        <v>856</v>
      </c>
      <c r="Q2" s="2443" t="s">
        <v>837</v>
      </c>
      <c r="R2" s="2444"/>
      <c r="S2" s="56"/>
      <c r="T2" s="2441" t="s">
        <v>857</v>
      </c>
      <c r="U2" s="2450"/>
    </row>
    <row r="3" spans="1:21" ht="13" thickBot="1">
      <c r="O3" s="86" t="s">
        <v>844</v>
      </c>
      <c r="P3" s="85" t="s">
        <v>845</v>
      </c>
      <c r="Q3" s="81" t="s">
        <v>261</v>
      </c>
      <c r="R3" s="81" t="s">
        <v>846</v>
      </c>
      <c r="S3" s="92"/>
      <c r="T3" s="80" t="s">
        <v>858</v>
      </c>
      <c r="U3" s="79" t="s">
        <v>261</v>
      </c>
    </row>
    <row r="4" spans="1:21">
      <c r="A4" s="86">
        <v>1</v>
      </c>
      <c r="B4" s="72">
        <f>'3Orçto'!D6</f>
        <v>26500</v>
      </c>
      <c r="C4" s="71">
        <v>0.01</v>
      </c>
      <c r="D4" s="70">
        <f>D5+(D5*C4)</f>
        <v>956.80181887078425</v>
      </c>
      <c r="E4" s="74">
        <f t="shared" ref="E4:E39" si="0">B4*A4</f>
        <v>26500</v>
      </c>
      <c r="F4" s="69">
        <f t="shared" ref="F4:F39" si="1">($E$5/D4)*1000</f>
        <v>27696.43564356436</v>
      </c>
      <c r="G4" s="68">
        <f t="shared" ref="G4:G39" si="2">F4/A4</f>
        <v>27696.43564356436</v>
      </c>
      <c r="H4" s="73"/>
      <c r="I4" s="72">
        <f t="shared" ref="I4:I39" si="3">B4</f>
        <v>26500</v>
      </c>
      <c r="J4" s="71">
        <v>0.01</v>
      </c>
      <c r="K4" s="70">
        <f>K5+(K5*J4)</f>
        <v>947.53827679375559</v>
      </c>
      <c r="L4" s="69">
        <f t="shared" ref="L4:L39" si="4">($E$5/K4)*1000</f>
        <v>27967.20792079208</v>
      </c>
      <c r="M4" s="68">
        <f t="shared" ref="M4:M39" si="5">L4/A4</f>
        <v>27967.20792079208</v>
      </c>
      <c r="O4" s="63">
        <f t="shared" ref="O4:O39" si="6">M4+(M4*$M$1)</f>
        <v>27967.20792079208</v>
      </c>
      <c r="P4" s="91">
        <f t="shared" ref="P4:P39" si="7">O4*A4</f>
        <v>27967.20792079208</v>
      </c>
      <c r="Q4" s="63">
        <f t="shared" ref="Q4:Q39" si="8">P4-$I$4</f>
        <v>1467.2079207920797</v>
      </c>
      <c r="R4" s="63">
        <f t="shared" ref="R4:R39" si="9">Q4/A4</f>
        <v>1467.2079207920797</v>
      </c>
      <c r="S4" s="91"/>
      <c r="T4" s="76">
        <f t="shared" ref="T4:T39" ca="1" si="10">SUM(O4*fator)+O4</f>
        <v>27967.20792079208</v>
      </c>
      <c r="U4" s="76">
        <f t="shared" ref="U4:U39" ca="1" si="11">T4*A4</f>
        <v>27967.20792079208</v>
      </c>
    </row>
    <row r="5" spans="1:21">
      <c r="A5" s="86">
        <v>2</v>
      </c>
      <c r="B5" s="72">
        <f t="shared" ref="B5:B39" si="12">$B$4/A5</f>
        <v>13250</v>
      </c>
      <c r="C5" s="71">
        <v>5.2671466464569994E-2</v>
      </c>
      <c r="D5" s="70">
        <v>947.32853353542998</v>
      </c>
      <c r="E5" s="74">
        <f t="shared" si="0"/>
        <v>26500</v>
      </c>
      <c r="F5" s="69">
        <f t="shared" si="1"/>
        <v>27973.4</v>
      </c>
      <c r="G5" s="68">
        <f t="shared" si="2"/>
        <v>13986.7</v>
      </c>
      <c r="H5" s="73"/>
      <c r="I5" s="72">
        <f t="shared" si="3"/>
        <v>13250</v>
      </c>
      <c r="J5" s="71">
        <v>6.1843290303212228E-2</v>
      </c>
      <c r="K5" s="70">
        <v>938.15670969678774</v>
      </c>
      <c r="L5" s="69">
        <f t="shared" si="4"/>
        <v>28246.880000000001</v>
      </c>
      <c r="M5" s="68">
        <f t="shared" si="5"/>
        <v>14123.44</v>
      </c>
      <c r="O5" s="63">
        <f t="shared" si="6"/>
        <v>14123.44</v>
      </c>
      <c r="P5" s="91">
        <f t="shared" si="7"/>
        <v>28246.880000000001</v>
      </c>
      <c r="Q5" s="63">
        <f t="shared" si="8"/>
        <v>1746.880000000001</v>
      </c>
      <c r="R5" s="63">
        <f t="shared" si="9"/>
        <v>873.44000000000051</v>
      </c>
      <c r="S5" s="91"/>
      <c r="T5" s="76">
        <f t="shared" ca="1" si="10"/>
        <v>14123.44</v>
      </c>
      <c r="U5" s="61">
        <f t="shared" ca="1" si="11"/>
        <v>28246.880000000001</v>
      </c>
    </row>
    <row r="6" spans="1:21">
      <c r="A6" s="86">
        <v>3</v>
      </c>
      <c r="B6" s="72">
        <f t="shared" si="12"/>
        <v>8833.3333333333339</v>
      </c>
      <c r="C6" s="71">
        <v>6.2775309752760133E-2</v>
      </c>
      <c r="D6" s="70">
        <v>937.22469024723989</v>
      </c>
      <c r="E6" s="74">
        <f t="shared" si="0"/>
        <v>26500</v>
      </c>
      <c r="F6" s="69">
        <f t="shared" si="1"/>
        <v>28274.97</v>
      </c>
      <c r="G6" s="68">
        <f t="shared" si="2"/>
        <v>9424.99</v>
      </c>
      <c r="H6" s="73"/>
      <c r="I6" s="72">
        <f t="shared" si="3"/>
        <v>8833.3333333333339</v>
      </c>
      <c r="J6" s="71">
        <v>7.3636624702405729E-2</v>
      </c>
      <c r="K6" s="70">
        <v>926.3633752975943</v>
      </c>
      <c r="L6" s="69">
        <f t="shared" si="4"/>
        <v>28606.485000000001</v>
      </c>
      <c r="M6" s="68">
        <f t="shared" si="5"/>
        <v>9535.4950000000008</v>
      </c>
      <c r="O6" s="63">
        <f t="shared" si="6"/>
        <v>9535.4950000000008</v>
      </c>
      <c r="P6" s="91">
        <f t="shared" si="7"/>
        <v>28606.485000000001</v>
      </c>
      <c r="Q6" s="63">
        <f t="shared" si="8"/>
        <v>2106.4850000000006</v>
      </c>
      <c r="R6" s="63">
        <f t="shared" si="9"/>
        <v>702.16166666666686</v>
      </c>
      <c r="S6" s="91"/>
      <c r="T6" s="76">
        <f t="shared" ca="1" si="10"/>
        <v>9535.4950000000008</v>
      </c>
      <c r="U6" s="61">
        <f t="shared" ca="1" si="11"/>
        <v>28606.485000000001</v>
      </c>
    </row>
    <row r="7" spans="1:21">
      <c r="A7" s="86">
        <v>4</v>
      </c>
      <c r="B7" s="72">
        <f t="shared" si="12"/>
        <v>6625</v>
      </c>
      <c r="C7" s="71">
        <v>7.2734690849745931E-2</v>
      </c>
      <c r="D7" s="70">
        <v>927.2653091502541</v>
      </c>
      <c r="E7" s="74">
        <f t="shared" si="0"/>
        <v>26500</v>
      </c>
      <c r="F7" s="69">
        <f t="shared" si="1"/>
        <v>28578.66</v>
      </c>
      <c r="G7" s="68">
        <f t="shared" si="2"/>
        <v>7144.665</v>
      </c>
      <c r="H7" s="73"/>
      <c r="I7" s="72">
        <f t="shared" si="3"/>
        <v>6625</v>
      </c>
      <c r="J7" s="71">
        <v>8.5220827692195078E-2</v>
      </c>
      <c r="K7" s="70">
        <v>914.77917230780497</v>
      </c>
      <c r="L7" s="69">
        <f t="shared" si="4"/>
        <v>28968.739999999998</v>
      </c>
      <c r="M7" s="68">
        <f t="shared" si="5"/>
        <v>7242.1849999999995</v>
      </c>
      <c r="O7" s="63">
        <f t="shared" si="6"/>
        <v>7242.1849999999995</v>
      </c>
      <c r="P7" s="91">
        <f t="shared" si="7"/>
        <v>28968.739999999998</v>
      </c>
      <c r="Q7" s="63">
        <f t="shared" si="8"/>
        <v>2468.739999999998</v>
      </c>
      <c r="R7" s="63">
        <f t="shared" si="9"/>
        <v>617.18499999999949</v>
      </c>
      <c r="S7" s="91"/>
      <c r="T7" s="76">
        <f t="shared" ca="1" si="10"/>
        <v>7242.1849999999995</v>
      </c>
      <c r="U7" s="61">
        <f t="shared" ca="1" si="11"/>
        <v>28968.739999999998</v>
      </c>
    </row>
    <row r="8" spans="1:21">
      <c r="A8" s="86">
        <v>5</v>
      </c>
      <c r="B8" s="72">
        <f t="shared" si="12"/>
        <v>5300</v>
      </c>
      <c r="C8" s="71">
        <v>8.256880733944949E-2</v>
      </c>
      <c r="D8" s="70">
        <v>917.43119266055055</v>
      </c>
      <c r="E8" s="74">
        <f t="shared" si="0"/>
        <v>26500</v>
      </c>
      <c r="F8" s="69">
        <f t="shared" si="1"/>
        <v>28884.999999999996</v>
      </c>
      <c r="G8" s="68">
        <f t="shared" si="2"/>
        <v>5776.9999999999991</v>
      </c>
      <c r="H8" s="73"/>
      <c r="I8" s="72">
        <f t="shared" si="3"/>
        <v>5300</v>
      </c>
      <c r="J8" s="71">
        <v>9.6616830028456668E-2</v>
      </c>
      <c r="K8" s="70">
        <v>903.38316997154334</v>
      </c>
      <c r="L8" s="69">
        <f t="shared" si="4"/>
        <v>29334.175000000003</v>
      </c>
      <c r="M8" s="68">
        <f t="shared" si="5"/>
        <v>5866.8350000000009</v>
      </c>
      <c r="O8" s="63">
        <f t="shared" si="6"/>
        <v>5866.8350000000009</v>
      </c>
      <c r="P8" s="91">
        <f t="shared" si="7"/>
        <v>29334.175000000003</v>
      </c>
      <c r="Q8" s="63">
        <f t="shared" si="8"/>
        <v>2834.1750000000029</v>
      </c>
      <c r="R8" s="63">
        <f t="shared" si="9"/>
        <v>566.8350000000006</v>
      </c>
      <c r="S8" s="91"/>
      <c r="T8" s="76">
        <f t="shared" ca="1" si="10"/>
        <v>5866.8350000000009</v>
      </c>
      <c r="U8" s="61">
        <f t="shared" ca="1" si="11"/>
        <v>29334.175000000003</v>
      </c>
    </row>
    <row r="9" spans="1:21">
      <c r="A9" s="86">
        <v>6</v>
      </c>
      <c r="B9" s="72">
        <f t="shared" si="12"/>
        <v>4416.666666666667</v>
      </c>
      <c r="C9" s="71">
        <v>9.2278924532069762E-2</v>
      </c>
      <c r="D9" s="70">
        <v>907.72107546793029</v>
      </c>
      <c r="E9" s="74">
        <f t="shared" si="0"/>
        <v>26500</v>
      </c>
      <c r="F9" s="69">
        <f t="shared" si="1"/>
        <v>29193.989999999994</v>
      </c>
      <c r="G9" s="68">
        <f t="shared" si="2"/>
        <v>4865.6649999999991</v>
      </c>
      <c r="H9" s="73"/>
      <c r="I9" s="72">
        <f t="shared" si="3"/>
        <v>4416.666666666667</v>
      </c>
      <c r="J9" s="71">
        <v>0.10782791784879464</v>
      </c>
      <c r="K9" s="70">
        <v>892.17208215120536</v>
      </c>
      <c r="L9" s="69">
        <f t="shared" si="4"/>
        <v>29702.79</v>
      </c>
      <c r="M9" s="68">
        <f t="shared" si="5"/>
        <v>4950.4650000000001</v>
      </c>
      <c r="O9" s="63">
        <f t="shared" si="6"/>
        <v>4950.4650000000001</v>
      </c>
      <c r="P9" s="91">
        <f t="shared" si="7"/>
        <v>29702.79</v>
      </c>
      <c r="Q9" s="63">
        <f t="shared" si="8"/>
        <v>3202.7900000000009</v>
      </c>
      <c r="R9" s="63">
        <f t="shared" si="9"/>
        <v>533.79833333333352</v>
      </c>
      <c r="S9" s="91"/>
      <c r="T9" s="76">
        <f t="shared" ca="1" si="10"/>
        <v>4950.4650000000001</v>
      </c>
      <c r="U9" s="61">
        <f t="shared" ca="1" si="11"/>
        <v>29702.79</v>
      </c>
    </row>
    <row r="10" spans="1:21">
      <c r="A10" s="86">
        <v>7</v>
      </c>
      <c r="B10" s="72">
        <f t="shared" si="12"/>
        <v>3785.7142857142858</v>
      </c>
      <c r="C10" s="71">
        <v>0.10180985314591096</v>
      </c>
      <c r="D10" s="70">
        <v>898.19014685408899</v>
      </c>
      <c r="E10" s="74">
        <f t="shared" si="0"/>
        <v>26500</v>
      </c>
      <c r="F10" s="69">
        <f t="shared" si="1"/>
        <v>29503.775000000001</v>
      </c>
      <c r="G10" s="68">
        <f t="shared" si="2"/>
        <v>4214.8249999999998</v>
      </c>
      <c r="H10" s="73"/>
      <c r="I10" s="72">
        <f t="shared" si="3"/>
        <v>3785.7142857142858</v>
      </c>
      <c r="J10" s="71">
        <v>0.11887286216528181</v>
      </c>
      <c r="K10" s="70">
        <v>881.12713783471816</v>
      </c>
      <c r="L10" s="69">
        <f t="shared" si="4"/>
        <v>30075.115000000002</v>
      </c>
      <c r="M10" s="68">
        <f t="shared" si="5"/>
        <v>4296.4450000000006</v>
      </c>
      <c r="O10" s="63">
        <f t="shared" si="6"/>
        <v>4296.4450000000006</v>
      </c>
      <c r="P10" s="91">
        <f t="shared" si="7"/>
        <v>30075.115000000005</v>
      </c>
      <c r="Q10" s="63">
        <f t="shared" si="8"/>
        <v>3575.1150000000052</v>
      </c>
      <c r="R10" s="63">
        <f t="shared" si="9"/>
        <v>510.73071428571501</v>
      </c>
      <c r="S10" s="91"/>
      <c r="T10" s="76">
        <f t="shared" ca="1" si="10"/>
        <v>4296.4450000000006</v>
      </c>
      <c r="U10" s="61">
        <f t="shared" ca="1" si="11"/>
        <v>30075.115000000005</v>
      </c>
    </row>
    <row r="11" spans="1:21">
      <c r="A11" s="86">
        <v>8</v>
      </c>
      <c r="B11" s="72">
        <f t="shared" si="12"/>
        <v>3312.5</v>
      </c>
      <c r="C11" s="71">
        <v>0.11120591581342432</v>
      </c>
      <c r="D11" s="70">
        <v>888.79408418657567</v>
      </c>
      <c r="E11" s="74">
        <f t="shared" si="0"/>
        <v>26500</v>
      </c>
      <c r="F11" s="69">
        <f t="shared" si="1"/>
        <v>29815.68</v>
      </c>
      <c r="G11" s="68">
        <f t="shared" si="2"/>
        <v>3726.96</v>
      </c>
      <c r="H11" s="73"/>
      <c r="I11" s="72">
        <f t="shared" si="3"/>
        <v>3312.5</v>
      </c>
      <c r="J11" s="71">
        <v>0.12970827821485764</v>
      </c>
      <c r="K11" s="70">
        <v>870.29172178514239</v>
      </c>
      <c r="L11" s="69">
        <f t="shared" si="4"/>
        <v>30449.559999999998</v>
      </c>
      <c r="M11" s="68">
        <f t="shared" si="5"/>
        <v>3806.1949999999997</v>
      </c>
      <c r="O11" s="63">
        <f t="shared" si="6"/>
        <v>3806.1949999999997</v>
      </c>
      <c r="P11" s="91">
        <f t="shared" si="7"/>
        <v>30449.559999999998</v>
      </c>
      <c r="Q11" s="63">
        <f t="shared" si="8"/>
        <v>3949.5599999999977</v>
      </c>
      <c r="R11" s="63">
        <f t="shared" si="9"/>
        <v>493.69499999999971</v>
      </c>
      <c r="S11" s="91"/>
      <c r="T11" s="76">
        <f t="shared" ca="1" si="10"/>
        <v>3806.1949999999997</v>
      </c>
      <c r="U11" s="61">
        <f t="shared" ca="1" si="11"/>
        <v>30449.559999999998</v>
      </c>
    </row>
    <row r="12" spans="1:21">
      <c r="A12" s="86">
        <v>9</v>
      </c>
      <c r="B12" s="72">
        <f t="shared" si="12"/>
        <v>2944.4444444444443</v>
      </c>
      <c r="C12" s="71">
        <v>0.12053893374140334</v>
      </c>
      <c r="D12" s="70">
        <v>879.4610662585967</v>
      </c>
      <c r="E12" s="74">
        <f t="shared" si="0"/>
        <v>26500</v>
      </c>
      <c r="F12" s="69">
        <f t="shared" si="1"/>
        <v>30132.09</v>
      </c>
      <c r="G12" s="68">
        <f t="shared" si="2"/>
        <v>3348.01</v>
      </c>
      <c r="H12" s="73"/>
      <c r="I12" s="72">
        <f t="shared" si="3"/>
        <v>2944.4444444444443</v>
      </c>
      <c r="J12" s="71">
        <v>0.14033956587148078</v>
      </c>
      <c r="K12" s="70">
        <v>859.66043412851923</v>
      </c>
      <c r="L12" s="69">
        <f t="shared" si="4"/>
        <v>30826.125</v>
      </c>
      <c r="M12" s="68">
        <f t="shared" si="5"/>
        <v>3425.125</v>
      </c>
      <c r="O12" s="63">
        <f t="shared" si="6"/>
        <v>3425.125</v>
      </c>
      <c r="P12" s="91">
        <f t="shared" si="7"/>
        <v>30826.125</v>
      </c>
      <c r="Q12" s="63">
        <f t="shared" si="8"/>
        <v>4326.125</v>
      </c>
      <c r="R12" s="63">
        <f t="shared" si="9"/>
        <v>480.68055555555554</v>
      </c>
      <c r="S12" s="91"/>
      <c r="T12" s="76">
        <f t="shared" ca="1" si="10"/>
        <v>3425.125</v>
      </c>
      <c r="U12" s="61">
        <f t="shared" ca="1" si="11"/>
        <v>30826.125</v>
      </c>
    </row>
    <row r="13" spans="1:21">
      <c r="A13" s="86">
        <v>10</v>
      </c>
      <c r="B13" s="72">
        <f t="shared" si="12"/>
        <v>2650</v>
      </c>
      <c r="C13" s="71">
        <v>0.1296779808529156</v>
      </c>
      <c r="D13" s="70">
        <v>870.32201914708435</v>
      </c>
      <c r="E13" s="74">
        <f t="shared" si="0"/>
        <v>26500</v>
      </c>
      <c r="F13" s="69">
        <f t="shared" si="1"/>
        <v>30448.500000000004</v>
      </c>
      <c r="G13" s="68">
        <f t="shared" si="2"/>
        <v>3044.8500000000004</v>
      </c>
      <c r="H13" s="73"/>
      <c r="I13" s="72">
        <f t="shared" si="3"/>
        <v>2650</v>
      </c>
      <c r="J13" s="71">
        <v>0.15081521739130432</v>
      </c>
      <c r="K13" s="70">
        <v>849.18478260869563</v>
      </c>
      <c r="L13" s="69">
        <f t="shared" si="4"/>
        <v>31206.400000000001</v>
      </c>
      <c r="M13" s="68">
        <f t="shared" si="5"/>
        <v>3120.6400000000003</v>
      </c>
      <c r="O13" s="63">
        <f t="shared" si="6"/>
        <v>3120.6400000000003</v>
      </c>
      <c r="P13" s="91">
        <f t="shared" si="7"/>
        <v>31206.400000000001</v>
      </c>
      <c r="Q13" s="63">
        <f t="shared" si="8"/>
        <v>4706.4000000000015</v>
      </c>
      <c r="R13" s="63">
        <f t="shared" si="9"/>
        <v>470.64000000000016</v>
      </c>
      <c r="S13" s="91"/>
      <c r="T13" s="76">
        <f t="shared" ca="1" si="10"/>
        <v>3120.6400000000003</v>
      </c>
      <c r="U13" s="61">
        <f t="shared" ca="1" si="11"/>
        <v>31206.400000000001</v>
      </c>
    </row>
    <row r="14" spans="1:21">
      <c r="A14" s="86">
        <v>11</v>
      </c>
      <c r="B14" s="72">
        <f t="shared" si="12"/>
        <v>2409.090909090909</v>
      </c>
      <c r="C14" s="71">
        <v>0.13871064984281467</v>
      </c>
      <c r="D14" s="70">
        <v>861.28935015718537</v>
      </c>
      <c r="E14" s="74">
        <f t="shared" si="0"/>
        <v>26500</v>
      </c>
      <c r="F14" s="69">
        <f t="shared" si="1"/>
        <v>30767.824999999997</v>
      </c>
      <c r="G14" s="68">
        <f t="shared" si="2"/>
        <v>2797.0749999999998</v>
      </c>
      <c r="H14" s="73"/>
      <c r="I14" s="72">
        <f t="shared" si="3"/>
        <v>2409.090909090909</v>
      </c>
      <c r="J14" s="71">
        <v>0.16112308840923761</v>
      </c>
      <c r="K14" s="70">
        <v>838.87691159076235</v>
      </c>
      <c r="L14" s="69">
        <f t="shared" si="4"/>
        <v>31589.854999999996</v>
      </c>
      <c r="M14" s="68">
        <f t="shared" si="5"/>
        <v>2871.8049999999998</v>
      </c>
      <c r="O14" s="63">
        <f t="shared" si="6"/>
        <v>2871.8049999999998</v>
      </c>
      <c r="P14" s="91">
        <f t="shared" si="7"/>
        <v>31589.855</v>
      </c>
      <c r="Q14" s="63">
        <f t="shared" si="8"/>
        <v>5089.8549999999996</v>
      </c>
      <c r="R14" s="63">
        <f t="shared" si="9"/>
        <v>462.71409090909088</v>
      </c>
      <c r="S14" s="91"/>
      <c r="T14" s="76">
        <f t="shared" ca="1" si="10"/>
        <v>2871.8049999999998</v>
      </c>
      <c r="U14" s="61">
        <f t="shared" ca="1" si="11"/>
        <v>31589.855</v>
      </c>
    </row>
    <row r="15" spans="1:21">
      <c r="A15" s="86">
        <v>12</v>
      </c>
      <c r="B15" s="72">
        <f t="shared" si="12"/>
        <v>2208.3333333333335</v>
      </c>
      <c r="C15" s="71">
        <v>0.14757228587015814</v>
      </c>
      <c r="D15" s="70">
        <v>852.42771412984189</v>
      </c>
      <c r="E15" s="74">
        <f t="shared" si="0"/>
        <v>26500</v>
      </c>
      <c r="F15" s="69">
        <f t="shared" si="1"/>
        <v>31087.679999999997</v>
      </c>
      <c r="G15" s="68">
        <f t="shared" si="2"/>
        <v>2590.64</v>
      </c>
      <c r="H15" s="73"/>
      <c r="I15" s="72">
        <f t="shared" si="3"/>
        <v>2208.3333333333335</v>
      </c>
      <c r="J15" s="71">
        <v>0.17130734553168914</v>
      </c>
      <c r="K15" s="70">
        <v>828.69265446831082</v>
      </c>
      <c r="L15" s="69">
        <f t="shared" si="4"/>
        <v>31978.079999999998</v>
      </c>
      <c r="M15" s="68">
        <f t="shared" si="5"/>
        <v>2664.8399999999997</v>
      </c>
      <c r="O15" s="63">
        <f t="shared" si="6"/>
        <v>2664.8399999999997</v>
      </c>
      <c r="P15" s="91">
        <f t="shared" si="7"/>
        <v>31978.079999999994</v>
      </c>
      <c r="Q15" s="63">
        <f t="shared" si="8"/>
        <v>5478.0799999999945</v>
      </c>
      <c r="R15" s="63">
        <f t="shared" si="9"/>
        <v>456.50666666666621</v>
      </c>
      <c r="S15" s="91"/>
      <c r="T15" s="76">
        <f t="shared" ca="1" si="10"/>
        <v>2664.8399999999997</v>
      </c>
      <c r="U15" s="61">
        <f t="shared" ca="1" si="11"/>
        <v>31978.079999999994</v>
      </c>
    </row>
    <row r="16" spans="1:21">
      <c r="A16" s="86">
        <v>13</v>
      </c>
      <c r="B16" s="72">
        <f t="shared" si="12"/>
        <v>2038.4615384615386</v>
      </c>
      <c r="C16" s="71">
        <v>0.15636020044881627</v>
      </c>
      <c r="D16" s="70">
        <v>843.63979955118373</v>
      </c>
      <c r="E16" s="74">
        <f t="shared" si="0"/>
        <v>26500</v>
      </c>
      <c r="F16" s="69">
        <f t="shared" si="1"/>
        <v>31411.509999999995</v>
      </c>
      <c r="G16" s="68">
        <f t="shared" si="2"/>
        <v>2416.2699999999995</v>
      </c>
      <c r="H16" s="73"/>
      <c r="I16" s="72">
        <f t="shared" si="3"/>
        <v>2038.4615384615386</v>
      </c>
      <c r="J16" s="71">
        <v>0.18123388054202327</v>
      </c>
      <c r="K16" s="70">
        <v>818.76611945797674</v>
      </c>
      <c r="L16" s="69">
        <f t="shared" si="4"/>
        <v>32365.775000000005</v>
      </c>
      <c r="M16" s="68">
        <f t="shared" si="5"/>
        <v>2489.6750000000002</v>
      </c>
      <c r="O16" s="63">
        <f t="shared" si="6"/>
        <v>2489.6750000000002</v>
      </c>
      <c r="P16" s="91">
        <f t="shared" si="7"/>
        <v>32365.775000000001</v>
      </c>
      <c r="Q16" s="63">
        <f t="shared" si="8"/>
        <v>5865.7750000000015</v>
      </c>
      <c r="R16" s="63">
        <f t="shared" si="9"/>
        <v>451.21346153846167</v>
      </c>
      <c r="S16" s="91"/>
      <c r="T16" s="76">
        <f t="shared" ca="1" si="10"/>
        <v>2489.6750000000002</v>
      </c>
      <c r="U16" s="61">
        <f t="shared" ca="1" si="11"/>
        <v>32365.775000000001</v>
      </c>
    </row>
    <row r="17" spans="1:21">
      <c r="A17" s="86">
        <v>14</v>
      </c>
      <c r="B17" s="72">
        <f t="shared" si="12"/>
        <v>1892.8571428571429</v>
      </c>
      <c r="C17" s="71">
        <v>0.16496876983199182</v>
      </c>
      <c r="D17" s="70">
        <v>835.03123016800816</v>
      </c>
      <c r="E17" s="74">
        <f t="shared" si="0"/>
        <v>26500</v>
      </c>
      <c r="F17" s="69">
        <f t="shared" si="1"/>
        <v>31735.340000000004</v>
      </c>
      <c r="G17" s="68">
        <f t="shared" si="2"/>
        <v>2266.8100000000004</v>
      </c>
      <c r="H17" s="73"/>
      <c r="I17" s="72">
        <f t="shared" si="3"/>
        <v>1892.8571428571429</v>
      </c>
      <c r="J17" s="71">
        <v>0.19106940624494417</v>
      </c>
      <c r="K17" s="70">
        <v>808.93059375505584</v>
      </c>
      <c r="L17" s="69">
        <f t="shared" si="4"/>
        <v>32759.299999999996</v>
      </c>
      <c r="M17" s="68">
        <f t="shared" si="5"/>
        <v>2339.9499999999998</v>
      </c>
      <c r="O17" s="63">
        <f t="shared" si="6"/>
        <v>2339.9499999999998</v>
      </c>
      <c r="P17" s="91">
        <f t="shared" si="7"/>
        <v>32759.299999999996</v>
      </c>
      <c r="Q17" s="63">
        <f t="shared" si="8"/>
        <v>6259.2999999999956</v>
      </c>
      <c r="R17" s="63">
        <f t="shared" si="9"/>
        <v>447.09285714285681</v>
      </c>
      <c r="S17" s="91"/>
      <c r="T17" s="76">
        <f t="shared" ca="1" si="10"/>
        <v>2339.9499999999998</v>
      </c>
      <c r="U17" s="61">
        <f t="shared" ca="1" si="11"/>
        <v>32759.299999999996</v>
      </c>
    </row>
    <row r="18" spans="1:21">
      <c r="A18" s="86">
        <v>15</v>
      </c>
      <c r="B18" s="72">
        <f t="shared" si="12"/>
        <v>1766.6666666666667</v>
      </c>
      <c r="C18" s="71">
        <v>0.1734854120175221</v>
      </c>
      <c r="D18" s="70">
        <v>826.51458798247791</v>
      </c>
      <c r="E18" s="74">
        <f t="shared" si="0"/>
        <v>26500</v>
      </c>
      <c r="F18" s="69">
        <f t="shared" si="1"/>
        <v>32062.350000000002</v>
      </c>
      <c r="G18" s="68">
        <f t="shared" si="2"/>
        <v>2137.4900000000002</v>
      </c>
      <c r="H18" s="73"/>
      <c r="I18" s="72">
        <f t="shared" si="3"/>
        <v>1766.6666666666667</v>
      </c>
      <c r="J18" s="71">
        <v>0.20073532350237788</v>
      </c>
      <c r="K18" s="70">
        <v>799.26467649762208</v>
      </c>
      <c r="L18" s="69">
        <f t="shared" si="4"/>
        <v>33155.475000000006</v>
      </c>
      <c r="M18" s="68">
        <f t="shared" si="5"/>
        <v>2210.3650000000002</v>
      </c>
      <c r="O18" s="63">
        <f t="shared" si="6"/>
        <v>2210.3650000000002</v>
      </c>
      <c r="P18" s="91">
        <f t="shared" si="7"/>
        <v>33155.475000000006</v>
      </c>
      <c r="Q18" s="63">
        <f t="shared" si="8"/>
        <v>6655.4750000000058</v>
      </c>
      <c r="R18" s="63">
        <f t="shared" si="9"/>
        <v>443.69833333333372</v>
      </c>
      <c r="S18" s="91"/>
      <c r="T18" s="76">
        <f t="shared" ca="1" si="10"/>
        <v>2210.3650000000002</v>
      </c>
      <c r="U18" s="61">
        <f t="shared" ca="1" si="11"/>
        <v>33155.475000000006</v>
      </c>
    </row>
    <row r="19" spans="1:21">
      <c r="A19" s="86">
        <v>16</v>
      </c>
      <c r="B19" s="72">
        <f t="shared" si="12"/>
        <v>1656.25</v>
      </c>
      <c r="C19" s="71">
        <v>0.18193717277486909</v>
      </c>
      <c r="D19" s="70">
        <v>818.06282722513095</v>
      </c>
      <c r="E19" s="74">
        <f t="shared" si="0"/>
        <v>26500</v>
      </c>
      <c r="F19" s="69">
        <f t="shared" si="1"/>
        <v>32393.599999999999</v>
      </c>
      <c r="G19" s="68">
        <f t="shared" si="2"/>
        <v>2024.6</v>
      </c>
      <c r="H19" s="73"/>
      <c r="I19" s="72">
        <f t="shared" si="3"/>
        <v>1656.25</v>
      </c>
      <c r="J19" s="71">
        <v>0.21016049538733739</v>
      </c>
      <c r="K19" s="70">
        <v>789.83950461266261</v>
      </c>
      <c r="L19" s="69">
        <f t="shared" si="4"/>
        <v>33551.120000000003</v>
      </c>
      <c r="M19" s="68">
        <f t="shared" si="5"/>
        <v>2096.9450000000002</v>
      </c>
      <c r="O19" s="63">
        <f t="shared" si="6"/>
        <v>2096.9450000000002</v>
      </c>
      <c r="P19" s="91">
        <f t="shared" si="7"/>
        <v>33551.120000000003</v>
      </c>
      <c r="Q19" s="63">
        <f t="shared" si="8"/>
        <v>7051.1200000000026</v>
      </c>
      <c r="R19" s="63">
        <f t="shared" si="9"/>
        <v>440.69500000000016</v>
      </c>
      <c r="S19" s="91"/>
      <c r="T19" s="76">
        <f t="shared" ca="1" si="10"/>
        <v>2096.9450000000002</v>
      </c>
      <c r="U19" s="61">
        <f t="shared" ca="1" si="11"/>
        <v>33551.120000000003</v>
      </c>
    </row>
    <row r="20" spans="1:21">
      <c r="A20" s="86">
        <v>17</v>
      </c>
      <c r="B20" s="72">
        <f t="shared" si="12"/>
        <v>1558.8235294117646</v>
      </c>
      <c r="C20" s="71">
        <v>0.1902047162477325</v>
      </c>
      <c r="D20" s="70">
        <v>809.79528375226755</v>
      </c>
      <c r="E20" s="74">
        <f t="shared" si="0"/>
        <v>26500</v>
      </c>
      <c r="F20" s="69">
        <f t="shared" si="1"/>
        <v>32724.319999999992</v>
      </c>
      <c r="G20" s="68">
        <f t="shared" si="2"/>
        <v>1924.9599999999996</v>
      </c>
      <c r="H20" s="73"/>
      <c r="I20" s="72">
        <f t="shared" si="3"/>
        <v>1558.8235294117646</v>
      </c>
      <c r="J20" s="71">
        <v>0.21953656080980888</v>
      </c>
      <c r="K20" s="70">
        <v>780.46343919019114</v>
      </c>
      <c r="L20" s="69">
        <f t="shared" si="4"/>
        <v>33954.185000000005</v>
      </c>
      <c r="M20" s="68">
        <f t="shared" si="5"/>
        <v>1997.3050000000003</v>
      </c>
      <c r="O20" s="63">
        <f t="shared" si="6"/>
        <v>1997.3050000000003</v>
      </c>
      <c r="P20" s="91">
        <f t="shared" si="7"/>
        <v>33954.185000000005</v>
      </c>
      <c r="Q20" s="63">
        <f t="shared" si="8"/>
        <v>7454.1850000000049</v>
      </c>
      <c r="R20" s="63">
        <f t="shared" si="9"/>
        <v>438.4814705882356</v>
      </c>
      <c r="S20" s="91"/>
      <c r="T20" s="76">
        <f t="shared" ca="1" si="10"/>
        <v>1997.3050000000003</v>
      </c>
      <c r="U20" s="61">
        <f t="shared" ca="1" si="11"/>
        <v>33954.185000000005</v>
      </c>
    </row>
    <row r="21" spans="1:21">
      <c r="A21" s="86">
        <v>18</v>
      </c>
      <c r="B21" s="72">
        <f t="shared" si="12"/>
        <v>1472.2222222222222</v>
      </c>
      <c r="C21" s="71">
        <v>0.19844819570688843</v>
      </c>
      <c r="D21" s="70">
        <v>801.55180429311156</v>
      </c>
      <c r="E21" s="74">
        <f t="shared" si="0"/>
        <v>26500</v>
      </c>
      <c r="F21" s="69">
        <f t="shared" si="1"/>
        <v>33060.869999999995</v>
      </c>
      <c r="G21" s="68">
        <f t="shared" si="2"/>
        <v>1836.7149999999997</v>
      </c>
      <c r="H21" s="73"/>
      <c r="I21" s="72">
        <f t="shared" si="3"/>
        <v>1472.2222222222222</v>
      </c>
      <c r="J21" s="71">
        <v>0.22871642988261054</v>
      </c>
      <c r="K21" s="70">
        <v>771.28357011738944</v>
      </c>
      <c r="L21" s="69">
        <f t="shared" si="4"/>
        <v>34358.31</v>
      </c>
      <c r="M21" s="68">
        <f t="shared" si="5"/>
        <v>1908.7949999999998</v>
      </c>
      <c r="O21" s="63">
        <f t="shared" si="6"/>
        <v>1908.7949999999998</v>
      </c>
      <c r="P21" s="91">
        <f t="shared" si="7"/>
        <v>34358.31</v>
      </c>
      <c r="Q21" s="63">
        <f t="shared" si="8"/>
        <v>7858.3099999999977</v>
      </c>
      <c r="R21" s="63">
        <f t="shared" si="9"/>
        <v>436.57277777777767</v>
      </c>
      <c r="S21" s="91"/>
      <c r="T21" s="76">
        <f t="shared" ca="1" si="10"/>
        <v>1908.7949999999998</v>
      </c>
      <c r="U21" s="61">
        <f t="shared" ca="1" si="11"/>
        <v>34358.31</v>
      </c>
    </row>
    <row r="22" spans="1:21">
      <c r="A22" s="86">
        <v>19</v>
      </c>
      <c r="B22" s="72">
        <f t="shared" si="12"/>
        <v>1394.7368421052631</v>
      </c>
      <c r="C22" s="71">
        <v>0.20651923794107607</v>
      </c>
      <c r="D22" s="70">
        <v>793.48076205892391</v>
      </c>
      <c r="E22" s="74">
        <f t="shared" si="0"/>
        <v>26500</v>
      </c>
      <c r="F22" s="69">
        <f t="shared" si="1"/>
        <v>33397.154999999999</v>
      </c>
      <c r="G22" s="68">
        <f t="shared" si="2"/>
        <v>1757.7449999999999</v>
      </c>
      <c r="H22" s="73"/>
      <c r="I22" s="72">
        <f t="shared" si="3"/>
        <v>1394.7368421052631</v>
      </c>
      <c r="J22" s="71">
        <v>0.23777582987156531</v>
      </c>
      <c r="K22" s="70">
        <v>762.22417012843471</v>
      </c>
      <c r="L22" s="69">
        <f t="shared" si="4"/>
        <v>34766.675000000003</v>
      </c>
      <c r="M22" s="68">
        <f t="shared" si="5"/>
        <v>1829.825</v>
      </c>
      <c r="O22" s="63">
        <f t="shared" si="6"/>
        <v>1829.825</v>
      </c>
      <c r="P22" s="91">
        <f t="shared" si="7"/>
        <v>34766.675000000003</v>
      </c>
      <c r="Q22" s="63">
        <f t="shared" si="8"/>
        <v>8266.6750000000029</v>
      </c>
      <c r="R22" s="63">
        <f t="shared" si="9"/>
        <v>435.08815789473698</v>
      </c>
      <c r="S22" s="91"/>
      <c r="T22" s="76">
        <f t="shared" ca="1" si="10"/>
        <v>1829.825</v>
      </c>
      <c r="U22" s="61">
        <f t="shared" ca="1" si="11"/>
        <v>34766.675000000003</v>
      </c>
    </row>
    <row r="23" spans="1:21">
      <c r="A23" s="86">
        <v>20</v>
      </c>
      <c r="B23" s="72">
        <f t="shared" si="12"/>
        <v>1325</v>
      </c>
      <c r="C23" s="71">
        <v>0.21445404556166525</v>
      </c>
      <c r="D23" s="70">
        <v>785.54595443833477</v>
      </c>
      <c r="E23" s="74">
        <f t="shared" si="0"/>
        <v>26500</v>
      </c>
      <c r="F23" s="69">
        <f t="shared" si="1"/>
        <v>33734.5</v>
      </c>
      <c r="G23" s="68">
        <f t="shared" si="2"/>
        <v>1686.7249999999999</v>
      </c>
      <c r="H23" s="73"/>
      <c r="I23" s="72">
        <f t="shared" si="3"/>
        <v>1325</v>
      </c>
      <c r="J23" s="71">
        <v>0.24664758173873735</v>
      </c>
      <c r="K23" s="70">
        <v>753.35241826126264</v>
      </c>
      <c r="L23" s="69">
        <f t="shared" si="4"/>
        <v>35176.1</v>
      </c>
      <c r="M23" s="68">
        <f t="shared" si="5"/>
        <v>1758.8049999999998</v>
      </c>
      <c r="O23" s="63">
        <f t="shared" si="6"/>
        <v>1758.8049999999998</v>
      </c>
      <c r="P23" s="91">
        <f t="shared" si="7"/>
        <v>35176.1</v>
      </c>
      <c r="Q23" s="63">
        <f t="shared" si="8"/>
        <v>8676.0999999999985</v>
      </c>
      <c r="R23" s="63">
        <f t="shared" si="9"/>
        <v>433.80499999999995</v>
      </c>
      <c r="S23" s="91"/>
      <c r="T23" s="76">
        <f t="shared" ca="1" si="10"/>
        <v>1758.8049999999998</v>
      </c>
      <c r="U23" s="61">
        <f t="shared" ca="1" si="11"/>
        <v>35176.1</v>
      </c>
    </row>
    <row r="24" spans="1:21">
      <c r="A24" s="86">
        <v>21</v>
      </c>
      <c r="B24" s="72">
        <f t="shared" si="12"/>
        <v>1261.9047619047619</v>
      </c>
      <c r="C24" s="71">
        <v>0.22229221592278914</v>
      </c>
      <c r="D24" s="70">
        <v>777.70778407721082</v>
      </c>
      <c r="E24" s="74">
        <f t="shared" si="0"/>
        <v>26500</v>
      </c>
      <c r="F24" s="69">
        <f t="shared" si="1"/>
        <v>34074.494999999995</v>
      </c>
      <c r="G24" s="68">
        <f t="shared" si="2"/>
        <v>1622.5949999999998</v>
      </c>
      <c r="H24" s="73"/>
      <c r="I24" s="72">
        <f t="shared" si="3"/>
        <v>1261.9047619047619</v>
      </c>
      <c r="J24" s="71">
        <v>0.25537063926430625</v>
      </c>
      <c r="K24" s="70">
        <v>744.62936073569369</v>
      </c>
      <c r="L24" s="69">
        <f t="shared" si="4"/>
        <v>35588.17500000001</v>
      </c>
      <c r="M24" s="68">
        <f t="shared" si="5"/>
        <v>1694.6750000000004</v>
      </c>
      <c r="O24" s="63">
        <f t="shared" si="6"/>
        <v>1694.6750000000004</v>
      </c>
      <c r="P24" s="91">
        <f t="shared" si="7"/>
        <v>35588.17500000001</v>
      </c>
      <c r="Q24" s="63">
        <f t="shared" si="8"/>
        <v>9088.1750000000102</v>
      </c>
      <c r="R24" s="63">
        <f t="shared" si="9"/>
        <v>432.7702380952386</v>
      </c>
      <c r="S24" s="91"/>
      <c r="T24" s="76">
        <f t="shared" ca="1" si="10"/>
        <v>1694.6750000000004</v>
      </c>
      <c r="U24" s="61">
        <f t="shared" ca="1" si="11"/>
        <v>35588.17500000001</v>
      </c>
    </row>
    <row r="25" spans="1:21">
      <c r="A25" s="86">
        <v>22</v>
      </c>
      <c r="B25" s="72">
        <f t="shared" si="12"/>
        <v>1204.5454545454545</v>
      </c>
      <c r="C25" s="71">
        <v>0.22997551322132037</v>
      </c>
      <c r="D25" s="70">
        <v>770.0244867786796</v>
      </c>
      <c r="E25" s="74">
        <f t="shared" si="0"/>
        <v>26500</v>
      </c>
      <c r="F25" s="69">
        <f t="shared" si="1"/>
        <v>34414.49</v>
      </c>
      <c r="G25" s="68">
        <f t="shared" si="2"/>
        <v>1564.2949999999998</v>
      </c>
      <c r="H25" s="73"/>
      <c r="I25" s="72">
        <f t="shared" si="3"/>
        <v>1204.5454545454545</v>
      </c>
      <c r="J25" s="71">
        <v>0.26401318888365521</v>
      </c>
      <c r="K25" s="70">
        <v>735.98681111634482</v>
      </c>
      <c r="L25" s="69">
        <f t="shared" si="4"/>
        <v>36006.079999999994</v>
      </c>
      <c r="M25" s="68">
        <f t="shared" si="5"/>
        <v>1636.6399999999996</v>
      </c>
      <c r="O25" s="63">
        <f t="shared" si="6"/>
        <v>1636.6399999999996</v>
      </c>
      <c r="P25" s="91">
        <f t="shared" si="7"/>
        <v>36006.079999999994</v>
      </c>
      <c r="Q25" s="63">
        <f t="shared" si="8"/>
        <v>9506.0799999999945</v>
      </c>
      <c r="R25" s="63">
        <f t="shared" si="9"/>
        <v>432.0945454545452</v>
      </c>
      <c r="S25" s="91"/>
      <c r="T25" s="76">
        <f t="shared" ca="1" si="10"/>
        <v>1636.6399999999996</v>
      </c>
      <c r="U25" s="61">
        <f t="shared" ca="1" si="11"/>
        <v>36006.079999999994</v>
      </c>
    </row>
    <row r="26" spans="1:21">
      <c r="A26" s="86">
        <v>23</v>
      </c>
      <c r="B26" s="72">
        <f t="shared" si="12"/>
        <v>1152.1739130434783</v>
      </c>
      <c r="C26" s="71">
        <v>0.23762474365132003</v>
      </c>
      <c r="D26" s="70">
        <v>762.37525634867995</v>
      </c>
      <c r="E26" s="74">
        <f t="shared" si="0"/>
        <v>26500</v>
      </c>
      <c r="F26" s="69">
        <f t="shared" si="1"/>
        <v>34759.785000000003</v>
      </c>
      <c r="G26" s="68">
        <f t="shared" si="2"/>
        <v>1511.2950000000001</v>
      </c>
      <c r="H26" s="73"/>
      <c r="I26" s="72">
        <f t="shared" si="3"/>
        <v>1152.1739130434783</v>
      </c>
      <c r="J26" s="71">
        <v>0.2724521273499797</v>
      </c>
      <c r="K26" s="70">
        <v>727.54787265002028</v>
      </c>
      <c r="L26" s="69">
        <f t="shared" si="4"/>
        <v>36423.72</v>
      </c>
      <c r="M26" s="68">
        <f t="shared" si="5"/>
        <v>1583.64</v>
      </c>
      <c r="O26" s="63">
        <f t="shared" si="6"/>
        <v>1583.64</v>
      </c>
      <c r="P26" s="91">
        <f t="shared" si="7"/>
        <v>36423.72</v>
      </c>
      <c r="Q26" s="63">
        <f t="shared" si="8"/>
        <v>9923.7200000000012</v>
      </c>
      <c r="R26" s="63">
        <f t="shared" si="9"/>
        <v>431.46608695652179</v>
      </c>
      <c r="S26" s="91"/>
      <c r="T26" s="76">
        <f t="shared" ca="1" si="10"/>
        <v>1583.64</v>
      </c>
      <c r="U26" s="61">
        <f t="shared" ca="1" si="11"/>
        <v>36423.72</v>
      </c>
    </row>
    <row r="27" spans="1:21">
      <c r="A27" s="86">
        <v>24</v>
      </c>
      <c r="B27" s="72">
        <f t="shared" si="12"/>
        <v>1104.1666666666667</v>
      </c>
      <c r="C27" s="71">
        <v>0.24516908212560384</v>
      </c>
      <c r="D27" s="70">
        <v>754.83091787439616</v>
      </c>
      <c r="E27" s="74">
        <f t="shared" si="0"/>
        <v>26500</v>
      </c>
      <c r="F27" s="69">
        <f t="shared" si="1"/>
        <v>35107.199999999997</v>
      </c>
      <c r="G27" s="68">
        <f t="shared" si="2"/>
        <v>1462.8</v>
      </c>
      <c r="H27" s="73"/>
      <c r="I27" s="72">
        <f t="shared" si="3"/>
        <v>1104.1666666666667</v>
      </c>
      <c r="J27" s="71">
        <v>0.28074112434547438</v>
      </c>
      <c r="K27" s="70">
        <v>719.25887565452558</v>
      </c>
      <c r="L27" s="69">
        <f t="shared" si="4"/>
        <v>36843.479999999996</v>
      </c>
      <c r="M27" s="68">
        <f t="shared" si="5"/>
        <v>1535.1449999999998</v>
      </c>
      <c r="O27" s="63">
        <f t="shared" si="6"/>
        <v>1535.1449999999998</v>
      </c>
      <c r="P27" s="91">
        <f t="shared" si="7"/>
        <v>36843.479999999996</v>
      </c>
      <c r="Q27" s="63">
        <f t="shared" si="8"/>
        <v>10343.479999999996</v>
      </c>
      <c r="R27" s="63">
        <f t="shared" si="9"/>
        <v>430.97833333333318</v>
      </c>
      <c r="S27" s="91"/>
      <c r="T27" s="76">
        <f t="shared" ca="1" si="10"/>
        <v>1535.1449999999998</v>
      </c>
      <c r="U27" s="61">
        <f t="shared" ca="1" si="11"/>
        <v>36843.479999999996</v>
      </c>
    </row>
    <row r="28" spans="1:21">
      <c r="A28" s="86">
        <v>25</v>
      </c>
      <c r="B28" s="72">
        <f t="shared" si="12"/>
        <v>1060</v>
      </c>
      <c r="C28" s="71">
        <v>0.25261584454409558</v>
      </c>
      <c r="D28" s="70">
        <v>747.38415545590442</v>
      </c>
      <c r="E28" s="74">
        <f t="shared" si="0"/>
        <v>26500</v>
      </c>
      <c r="F28" s="69">
        <f t="shared" si="1"/>
        <v>35456.999999999993</v>
      </c>
      <c r="G28" s="68">
        <f t="shared" si="2"/>
        <v>1418.2799999999997</v>
      </c>
      <c r="H28" s="73"/>
      <c r="I28" s="72">
        <f t="shared" si="3"/>
        <v>1060</v>
      </c>
      <c r="J28" s="71">
        <v>0.28901528617134731</v>
      </c>
      <c r="K28" s="70">
        <v>710.98471382865273</v>
      </c>
      <c r="L28" s="69">
        <f t="shared" si="4"/>
        <v>37272.25</v>
      </c>
      <c r="M28" s="68">
        <f t="shared" si="5"/>
        <v>1490.89</v>
      </c>
      <c r="O28" s="63">
        <f t="shared" si="6"/>
        <v>1490.89</v>
      </c>
      <c r="P28" s="91">
        <f t="shared" si="7"/>
        <v>37272.25</v>
      </c>
      <c r="Q28" s="63">
        <f t="shared" si="8"/>
        <v>10772.25</v>
      </c>
      <c r="R28" s="63">
        <f t="shared" si="9"/>
        <v>430.89</v>
      </c>
      <c r="S28" s="91"/>
      <c r="T28" s="76">
        <f t="shared" ca="1" si="10"/>
        <v>1490.89</v>
      </c>
      <c r="U28" s="61">
        <f t="shared" ca="1" si="11"/>
        <v>37272.25</v>
      </c>
    </row>
    <row r="29" spans="1:21">
      <c r="A29" s="86">
        <v>26</v>
      </c>
      <c r="B29" s="72">
        <f t="shared" si="12"/>
        <v>1019.2307692307693</v>
      </c>
      <c r="C29" s="71">
        <v>0.25992806500791876</v>
      </c>
      <c r="D29" s="70">
        <v>740.0719349920812</v>
      </c>
      <c r="E29" s="74">
        <f t="shared" si="0"/>
        <v>26500</v>
      </c>
      <c r="F29" s="69">
        <f t="shared" si="1"/>
        <v>35807.33</v>
      </c>
      <c r="G29" s="68">
        <f t="shared" si="2"/>
        <v>1377.2050000000002</v>
      </c>
      <c r="H29" s="73"/>
      <c r="I29" s="72">
        <f t="shared" si="3"/>
        <v>1019.2307692307693</v>
      </c>
      <c r="J29" s="71">
        <v>0.29699253406071169</v>
      </c>
      <c r="K29" s="70">
        <v>703.00746593928829</v>
      </c>
      <c r="L29" s="69">
        <f t="shared" si="4"/>
        <v>37695.189999999995</v>
      </c>
      <c r="M29" s="68">
        <f t="shared" si="5"/>
        <v>1449.8149999999998</v>
      </c>
      <c r="O29" s="63">
        <f t="shared" si="6"/>
        <v>1449.8149999999998</v>
      </c>
      <c r="P29" s="91">
        <f t="shared" si="7"/>
        <v>37695.189999999995</v>
      </c>
      <c r="Q29" s="63">
        <f t="shared" si="8"/>
        <v>11195.189999999995</v>
      </c>
      <c r="R29" s="63">
        <f t="shared" si="9"/>
        <v>430.5842307692306</v>
      </c>
      <c r="S29" s="91"/>
      <c r="T29" s="76">
        <f t="shared" ca="1" si="10"/>
        <v>1449.8149999999998</v>
      </c>
      <c r="U29" s="61">
        <f t="shared" ca="1" si="11"/>
        <v>37695.189999999995</v>
      </c>
    </row>
    <row r="30" spans="1:21">
      <c r="A30" s="86">
        <v>27</v>
      </c>
      <c r="B30" s="72">
        <f t="shared" si="12"/>
        <v>981.48148148148152</v>
      </c>
      <c r="C30" s="71">
        <v>0.2671737824092395</v>
      </c>
      <c r="D30" s="70">
        <v>732.82621759076051</v>
      </c>
      <c r="E30" s="74">
        <f t="shared" si="0"/>
        <v>26500</v>
      </c>
      <c r="F30" s="69">
        <f t="shared" si="1"/>
        <v>36161.369999999995</v>
      </c>
      <c r="G30" s="68">
        <f t="shared" si="2"/>
        <v>1339.3099999999997</v>
      </c>
      <c r="H30" s="73"/>
      <c r="I30" s="72">
        <f t="shared" si="3"/>
        <v>981.48148148148152</v>
      </c>
      <c r="J30" s="71">
        <v>0.30499086062981728</v>
      </c>
      <c r="K30" s="70">
        <v>695.00913937018277</v>
      </c>
      <c r="L30" s="69">
        <f t="shared" si="4"/>
        <v>38128.994999999995</v>
      </c>
      <c r="M30" s="68">
        <f t="shared" si="5"/>
        <v>1412.1849999999997</v>
      </c>
      <c r="O30" s="63">
        <f t="shared" si="6"/>
        <v>1412.1849999999997</v>
      </c>
      <c r="P30" s="91">
        <f t="shared" si="7"/>
        <v>38128.994999999995</v>
      </c>
      <c r="Q30" s="63">
        <f t="shared" si="8"/>
        <v>11628.994999999995</v>
      </c>
      <c r="R30" s="63">
        <f t="shared" si="9"/>
        <v>430.70351851851836</v>
      </c>
      <c r="S30" s="91"/>
      <c r="T30" s="76">
        <f t="shared" ca="1" si="10"/>
        <v>1412.1849999999997</v>
      </c>
      <c r="U30" s="61">
        <f t="shared" ca="1" si="11"/>
        <v>38128.994999999995</v>
      </c>
    </row>
    <row r="31" spans="1:21">
      <c r="A31" s="86">
        <v>28</v>
      </c>
      <c r="B31" s="72">
        <f t="shared" si="12"/>
        <v>946.42857142857144</v>
      </c>
      <c r="C31" s="71">
        <v>0.27424739454814639</v>
      </c>
      <c r="D31" s="70">
        <v>725.75260545185358</v>
      </c>
      <c r="E31" s="74">
        <f t="shared" si="0"/>
        <v>26500</v>
      </c>
      <c r="F31" s="69">
        <f t="shared" si="1"/>
        <v>36513.82</v>
      </c>
      <c r="G31" s="68">
        <f t="shared" si="2"/>
        <v>1304.0650000000001</v>
      </c>
      <c r="H31" s="73"/>
      <c r="I31" s="72">
        <f t="shared" si="3"/>
        <v>946.42857142857144</v>
      </c>
      <c r="J31" s="71">
        <v>0.31279034607878164</v>
      </c>
      <c r="K31" s="70">
        <v>687.20965392121832</v>
      </c>
      <c r="L31" s="69">
        <f t="shared" si="4"/>
        <v>38561.74</v>
      </c>
      <c r="M31" s="68">
        <f t="shared" si="5"/>
        <v>1377.2049999999999</v>
      </c>
      <c r="O31" s="63">
        <f t="shared" si="6"/>
        <v>1377.2049999999999</v>
      </c>
      <c r="P31" s="91">
        <f t="shared" si="7"/>
        <v>38561.74</v>
      </c>
      <c r="Q31" s="63">
        <f t="shared" si="8"/>
        <v>12061.739999999998</v>
      </c>
      <c r="R31" s="63">
        <f t="shared" si="9"/>
        <v>430.77642857142848</v>
      </c>
      <c r="S31" s="91"/>
      <c r="T31" s="76">
        <f t="shared" ca="1" si="10"/>
        <v>1377.2049999999999</v>
      </c>
      <c r="U31" s="61">
        <f t="shared" ca="1" si="11"/>
        <v>38561.74</v>
      </c>
    </row>
    <row r="32" spans="1:21">
      <c r="A32" s="86">
        <v>29</v>
      </c>
      <c r="B32" s="72">
        <f t="shared" si="12"/>
        <v>913.79310344827582</v>
      </c>
      <c r="C32" s="71">
        <v>0.28130974112776874</v>
      </c>
      <c r="D32" s="70">
        <v>718.69025887223131</v>
      </c>
      <c r="E32" s="74">
        <f t="shared" si="0"/>
        <v>26500</v>
      </c>
      <c r="F32" s="69">
        <f t="shared" si="1"/>
        <v>36872.629999999997</v>
      </c>
      <c r="G32" s="68">
        <f t="shared" si="2"/>
        <v>1271.4699999999998</v>
      </c>
      <c r="H32" s="73"/>
      <c r="I32" s="72">
        <f t="shared" si="3"/>
        <v>913.79310344827582</v>
      </c>
      <c r="J32" s="71">
        <v>0.32040286518152039</v>
      </c>
      <c r="K32" s="70">
        <v>679.59713481847962</v>
      </c>
      <c r="L32" s="69">
        <f t="shared" si="4"/>
        <v>38993.69</v>
      </c>
      <c r="M32" s="68">
        <f t="shared" si="5"/>
        <v>1344.6100000000001</v>
      </c>
      <c r="O32" s="63">
        <f t="shared" si="6"/>
        <v>1344.6100000000001</v>
      </c>
      <c r="P32" s="91">
        <f t="shared" si="7"/>
        <v>38993.69</v>
      </c>
      <c r="Q32" s="63">
        <f t="shared" si="8"/>
        <v>12493.690000000002</v>
      </c>
      <c r="R32" s="63">
        <f t="shared" si="9"/>
        <v>430.8168965517242</v>
      </c>
      <c r="S32" s="91"/>
      <c r="T32" s="76">
        <f t="shared" ca="1" si="10"/>
        <v>1344.6100000000001</v>
      </c>
      <c r="U32" s="61">
        <f t="shared" ca="1" si="11"/>
        <v>38993.69</v>
      </c>
    </row>
    <row r="33" spans="1:21">
      <c r="A33" s="86">
        <v>30</v>
      </c>
      <c r="B33" s="72">
        <f t="shared" si="12"/>
        <v>883.33333333333337</v>
      </c>
      <c r="C33" s="71">
        <v>0.28820556623247207</v>
      </c>
      <c r="D33" s="70">
        <v>711.79443376752795</v>
      </c>
      <c r="E33" s="74">
        <f t="shared" si="0"/>
        <v>26500</v>
      </c>
      <c r="F33" s="69">
        <f t="shared" si="1"/>
        <v>37229.85</v>
      </c>
      <c r="G33" s="68">
        <f t="shared" si="2"/>
        <v>1240.9949999999999</v>
      </c>
      <c r="H33" s="73"/>
      <c r="I33" s="72">
        <f t="shared" si="3"/>
        <v>883.33333333333337</v>
      </c>
      <c r="J33" s="71">
        <v>0.32809245447826385</v>
      </c>
      <c r="K33" s="70">
        <v>671.9075455217361</v>
      </c>
      <c r="L33" s="69">
        <f t="shared" si="4"/>
        <v>39439.950000000004</v>
      </c>
      <c r="M33" s="68">
        <f t="shared" si="5"/>
        <v>1314.6650000000002</v>
      </c>
      <c r="O33" s="63">
        <f t="shared" si="6"/>
        <v>1314.6650000000002</v>
      </c>
      <c r="P33" s="91">
        <f t="shared" si="7"/>
        <v>39439.950000000004</v>
      </c>
      <c r="Q33" s="63">
        <f t="shared" si="8"/>
        <v>12939.950000000004</v>
      </c>
      <c r="R33" s="63">
        <f t="shared" si="9"/>
        <v>431.33166666666682</v>
      </c>
      <c r="S33" s="91"/>
      <c r="T33" s="76">
        <f t="shared" ca="1" si="10"/>
        <v>1314.6650000000002</v>
      </c>
      <c r="U33" s="61">
        <f t="shared" ca="1" si="11"/>
        <v>39439.950000000004</v>
      </c>
    </row>
    <row r="34" spans="1:21">
      <c r="A34" s="86">
        <v>31</v>
      </c>
      <c r="B34" s="72">
        <f t="shared" si="12"/>
        <v>854.83870967741939</v>
      </c>
      <c r="C34" s="71">
        <v>0.29505977893074664</v>
      </c>
      <c r="D34" s="70">
        <v>704.94022106925331</v>
      </c>
      <c r="E34" s="74">
        <f t="shared" si="0"/>
        <v>26500</v>
      </c>
      <c r="F34" s="69">
        <f t="shared" si="1"/>
        <v>37591.839999999997</v>
      </c>
      <c r="G34" s="68">
        <f t="shared" si="2"/>
        <v>1212.6399999999999</v>
      </c>
      <c r="H34" s="73"/>
      <c r="I34" s="72">
        <f t="shared" si="3"/>
        <v>854.83870967741939</v>
      </c>
      <c r="J34" s="71">
        <v>0.33543336390339862</v>
      </c>
      <c r="K34" s="70">
        <v>664.56663609660143</v>
      </c>
      <c r="L34" s="69">
        <f t="shared" si="4"/>
        <v>39875.61</v>
      </c>
      <c r="M34" s="68">
        <f t="shared" si="5"/>
        <v>1286.31</v>
      </c>
      <c r="O34" s="63">
        <f t="shared" si="6"/>
        <v>1286.31</v>
      </c>
      <c r="P34" s="91">
        <f t="shared" si="7"/>
        <v>39875.61</v>
      </c>
      <c r="Q34" s="63">
        <f t="shared" si="8"/>
        <v>13375.61</v>
      </c>
      <c r="R34" s="63">
        <f t="shared" si="9"/>
        <v>431.47129032258067</v>
      </c>
      <c r="S34" s="91"/>
      <c r="T34" s="76">
        <f t="shared" ca="1" si="10"/>
        <v>1286.31</v>
      </c>
      <c r="U34" s="61">
        <f t="shared" ca="1" si="11"/>
        <v>39875.61</v>
      </c>
    </row>
    <row r="35" spans="1:21">
      <c r="A35" s="86">
        <v>32</v>
      </c>
      <c r="B35" s="72">
        <f t="shared" si="12"/>
        <v>828.125</v>
      </c>
      <c r="C35" s="71">
        <v>0.30183199285075968</v>
      </c>
      <c r="D35" s="70">
        <v>698.16800714924034</v>
      </c>
      <c r="E35" s="74">
        <f t="shared" si="0"/>
        <v>26500</v>
      </c>
      <c r="F35" s="69">
        <f t="shared" si="1"/>
        <v>37956.480000000003</v>
      </c>
      <c r="G35" s="68">
        <f t="shared" si="2"/>
        <v>1186.1400000000001</v>
      </c>
      <c r="H35" s="73"/>
      <c r="I35" s="72">
        <f t="shared" si="3"/>
        <v>828.125</v>
      </c>
      <c r="J35" s="71">
        <v>0.34279705573080965</v>
      </c>
      <c r="K35" s="70">
        <v>657.20294426919031</v>
      </c>
      <c r="L35" s="69">
        <f t="shared" si="4"/>
        <v>40322.400000000001</v>
      </c>
      <c r="M35" s="68">
        <f t="shared" si="5"/>
        <v>1260.075</v>
      </c>
      <c r="O35" s="63">
        <f t="shared" si="6"/>
        <v>1260.075</v>
      </c>
      <c r="P35" s="91">
        <f t="shared" si="7"/>
        <v>40322.400000000001</v>
      </c>
      <c r="Q35" s="63">
        <f t="shared" si="8"/>
        <v>13822.400000000001</v>
      </c>
      <c r="R35" s="63">
        <f t="shared" si="9"/>
        <v>431.95000000000005</v>
      </c>
      <c r="S35" s="91"/>
      <c r="T35" s="76">
        <f t="shared" ca="1" si="10"/>
        <v>1260.075</v>
      </c>
      <c r="U35" s="61">
        <f t="shared" ca="1" si="11"/>
        <v>40322.400000000001</v>
      </c>
    </row>
    <row r="36" spans="1:21">
      <c r="A36" s="86">
        <v>33</v>
      </c>
      <c r="B36" s="72">
        <f t="shared" si="12"/>
        <v>803.030303030303</v>
      </c>
      <c r="C36" s="71">
        <v>0.30846576213988353</v>
      </c>
      <c r="D36" s="70">
        <v>691.53423786011649</v>
      </c>
      <c r="E36" s="74">
        <f t="shared" si="0"/>
        <v>26500</v>
      </c>
      <c r="F36" s="69">
        <f t="shared" si="1"/>
        <v>38320.589999999997</v>
      </c>
      <c r="G36" s="68">
        <f t="shared" si="2"/>
        <v>1161.2299999999998</v>
      </c>
      <c r="H36" s="73"/>
      <c r="I36" s="72">
        <f t="shared" si="3"/>
        <v>803.030303030303</v>
      </c>
      <c r="J36" s="71">
        <v>0.34999934999935001</v>
      </c>
      <c r="K36" s="70">
        <v>650.00065000065001</v>
      </c>
      <c r="L36" s="69">
        <f t="shared" si="4"/>
        <v>40769.19</v>
      </c>
      <c r="M36" s="68">
        <f t="shared" si="5"/>
        <v>1235.43</v>
      </c>
      <c r="O36" s="63">
        <f t="shared" si="6"/>
        <v>1235.43</v>
      </c>
      <c r="P36" s="91">
        <f t="shared" si="7"/>
        <v>40769.19</v>
      </c>
      <c r="Q36" s="63">
        <f t="shared" si="8"/>
        <v>14269.190000000002</v>
      </c>
      <c r="R36" s="63">
        <f t="shared" si="9"/>
        <v>432.39969696969706</v>
      </c>
      <c r="S36" s="91"/>
      <c r="T36" s="76">
        <f t="shared" ca="1" si="10"/>
        <v>1235.43</v>
      </c>
      <c r="U36" s="61">
        <f t="shared" ca="1" si="11"/>
        <v>40769.19</v>
      </c>
    </row>
    <row r="37" spans="1:21">
      <c r="A37" s="86">
        <v>34</v>
      </c>
      <c r="B37" s="72">
        <f t="shared" si="12"/>
        <v>779.41176470588232</v>
      </c>
      <c r="C37" s="71">
        <v>0.31504972738979153</v>
      </c>
      <c r="D37" s="70">
        <v>684.95027261020846</v>
      </c>
      <c r="E37" s="74">
        <f t="shared" si="0"/>
        <v>26500</v>
      </c>
      <c r="F37" s="69">
        <f t="shared" si="1"/>
        <v>38688.94</v>
      </c>
      <c r="G37" s="68">
        <f t="shared" si="2"/>
        <v>1137.9100000000001</v>
      </c>
      <c r="H37" s="73"/>
      <c r="I37" s="72">
        <f t="shared" si="3"/>
        <v>779.41176470588232</v>
      </c>
      <c r="J37" s="71">
        <v>0.35711989713918357</v>
      </c>
      <c r="K37" s="70">
        <v>642.88010286081646</v>
      </c>
      <c r="L37" s="69">
        <f t="shared" si="4"/>
        <v>41220.75</v>
      </c>
      <c r="M37" s="68">
        <f t="shared" si="5"/>
        <v>1212.375</v>
      </c>
      <c r="O37" s="63">
        <f t="shared" si="6"/>
        <v>1212.375</v>
      </c>
      <c r="P37" s="91">
        <f t="shared" si="7"/>
        <v>41220.75</v>
      </c>
      <c r="Q37" s="63">
        <f t="shared" si="8"/>
        <v>14720.75</v>
      </c>
      <c r="R37" s="63">
        <f t="shared" si="9"/>
        <v>432.96323529411762</v>
      </c>
      <c r="S37" s="91"/>
      <c r="T37" s="76">
        <f t="shared" ca="1" si="10"/>
        <v>1212.375</v>
      </c>
      <c r="U37" s="61">
        <f t="shared" ca="1" si="11"/>
        <v>41220.75</v>
      </c>
    </row>
    <row r="38" spans="1:21">
      <c r="A38" s="86">
        <v>35</v>
      </c>
      <c r="B38" s="72">
        <f t="shared" si="12"/>
        <v>757.14285714285711</v>
      </c>
      <c r="C38" s="71">
        <v>0.32150490212708216</v>
      </c>
      <c r="D38" s="70">
        <v>678.49509787291788</v>
      </c>
      <c r="E38" s="74">
        <f t="shared" si="0"/>
        <v>26500</v>
      </c>
      <c r="F38" s="69">
        <f t="shared" si="1"/>
        <v>39057.024999999994</v>
      </c>
      <c r="G38" s="68">
        <f t="shared" si="2"/>
        <v>1115.9149999999997</v>
      </c>
      <c r="H38" s="73"/>
      <c r="I38" s="72">
        <f t="shared" si="3"/>
        <v>757.14285714285711</v>
      </c>
      <c r="J38" s="71">
        <v>0.36409017201360838</v>
      </c>
      <c r="K38" s="70">
        <v>635.90982798639163</v>
      </c>
      <c r="L38" s="69">
        <f t="shared" si="4"/>
        <v>41672.574999999997</v>
      </c>
      <c r="M38" s="68">
        <f t="shared" si="5"/>
        <v>1190.645</v>
      </c>
      <c r="O38" s="63">
        <f t="shared" si="6"/>
        <v>1190.645</v>
      </c>
      <c r="P38" s="91">
        <f t="shared" si="7"/>
        <v>41672.574999999997</v>
      </c>
      <c r="Q38" s="63">
        <f t="shared" si="8"/>
        <v>15172.574999999997</v>
      </c>
      <c r="R38" s="63">
        <f t="shared" si="9"/>
        <v>433.50214285714276</v>
      </c>
      <c r="S38" s="91"/>
      <c r="T38" s="76">
        <f t="shared" ca="1" si="10"/>
        <v>1190.645</v>
      </c>
      <c r="U38" s="61">
        <f t="shared" ca="1" si="11"/>
        <v>41672.574999999997</v>
      </c>
    </row>
    <row r="39" spans="1:21">
      <c r="A39" s="86">
        <v>36</v>
      </c>
      <c r="B39" s="72">
        <f t="shared" si="12"/>
        <v>736.11111111111109</v>
      </c>
      <c r="C39" s="71">
        <v>0.32790278785923599</v>
      </c>
      <c r="D39" s="70">
        <v>672.09721214076399</v>
      </c>
      <c r="E39" s="74">
        <f t="shared" si="0"/>
        <v>26500</v>
      </c>
      <c r="F39" s="69">
        <f t="shared" si="1"/>
        <v>39428.82</v>
      </c>
      <c r="G39" s="68">
        <f t="shared" si="2"/>
        <v>1095.2449999999999</v>
      </c>
      <c r="H39" s="73"/>
      <c r="I39" s="72">
        <f t="shared" si="3"/>
        <v>736.11111111111109</v>
      </c>
      <c r="J39" s="71">
        <v>0.37097423510466987</v>
      </c>
      <c r="K39" s="70">
        <v>629.0257648953301</v>
      </c>
      <c r="L39" s="69">
        <f t="shared" si="4"/>
        <v>42128.640000000007</v>
      </c>
      <c r="M39" s="68">
        <f t="shared" si="5"/>
        <v>1170.2400000000002</v>
      </c>
      <c r="O39" s="63">
        <f t="shared" si="6"/>
        <v>1170.2400000000002</v>
      </c>
      <c r="P39" s="91">
        <f t="shared" si="7"/>
        <v>42128.640000000007</v>
      </c>
      <c r="Q39" s="63">
        <f t="shared" si="8"/>
        <v>15628.640000000007</v>
      </c>
      <c r="R39" s="63">
        <f t="shared" si="9"/>
        <v>434.12888888888909</v>
      </c>
      <c r="S39" s="91"/>
      <c r="T39" s="76">
        <f t="shared" ca="1" si="10"/>
        <v>1170.2400000000002</v>
      </c>
      <c r="U39" s="61">
        <f t="shared" ca="1" si="11"/>
        <v>42128.640000000007</v>
      </c>
    </row>
    <row r="40" spans="1:21">
      <c r="B40" s="58"/>
      <c r="C40" s="58"/>
      <c r="D40" s="58"/>
      <c r="E40" s="58"/>
      <c r="F40" s="58"/>
      <c r="G40" s="58"/>
      <c r="H40" s="58"/>
      <c r="I40" s="58"/>
      <c r="J40" s="58"/>
      <c r="K40" s="58"/>
      <c r="M40" s="58"/>
    </row>
  </sheetData>
  <sheetProtection algorithmName="SHA-512" hashValue="yivIFR3HJnzygOtMw/T3P07WtdwG+1RvvStYNa0tRicZfYSCoeIopn0itdgIFz2I0KgrPiPdiGJqHKmdaPE6nw==" saltValue="TLp0XsFVENd2FIM/kDUJPw==" spinCount="100000" sheet="1" objects="1" scenarios="1"/>
  <mergeCells count="4">
    <mergeCell ref="A2:G2"/>
    <mergeCell ref="Q2:R2"/>
    <mergeCell ref="T2:U2"/>
    <mergeCell ref="T1:U1"/>
  </mergeCells>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13">
    <tabColor rgb="FF00B0F0"/>
  </sheetPr>
  <dimension ref="A1:U40"/>
  <sheetViews>
    <sheetView workbookViewId="0">
      <selection activeCell="A14" sqref="A14"/>
    </sheetView>
  </sheetViews>
  <sheetFormatPr defaultColWidth="9.1796875" defaultRowHeight="12.5"/>
  <cols>
    <col min="1" max="1" width="3" style="55" bestFit="1" customWidth="1"/>
    <col min="2" max="2" width="11.26953125" style="55" bestFit="1" customWidth="1"/>
    <col min="3" max="3" width="9.1796875" style="55"/>
    <col min="4" max="4" width="9.54296875" style="55" customWidth="1"/>
    <col min="5" max="5" width="11.26953125" style="55" bestFit="1" customWidth="1"/>
    <col min="6" max="6" width="11" style="55" customWidth="1"/>
    <col min="7" max="7" width="11.26953125" style="55" bestFit="1" customWidth="1"/>
    <col min="8" max="8" width="3.1796875" style="55" customWidth="1"/>
    <col min="9" max="9" width="11.26953125" style="55" bestFit="1" customWidth="1"/>
    <col min="10" max="11" width="9.1796875" style="55"/>
    <col min="12" max="12" width="10.1796875" style="55" bestFit="1" customWidth="1"/>
    <col min="13" max="13" width="11.26953125" style="55" bestFit="1" customWidth="1"/>
    <col min="14" max="14" width="2.54296875" style="55" customWidth="1"/>
    <col min="15" max="15" width="16" style="55" bestFit="1" customWidth="1"/>
    <col min="16" max="16" width="13.7265625" style="55" bestFit="1" customWidth="1"/>
    <col min="17" max="18" width="10.26953125" style="55" bestFit="1" customWidth="1"/>
    <col min="19" max="19" width="4" style="55" customWidth="1"/>
    <col min="20" max="20" width="19.453125" style="55" bestFit="1" customWidth="1"/>
    <col min="21" max="21" width="16.54296875" style="55" bestFit="1" customWidth="1"/>
    <col min="22" max="16384" width="9.1796875" style="55"/>
  </cols>
  <sheetData>
    <row r="1" spans="1:21" ht="13" thickBot="1">
      <c r="A1" s="58"/>
      <c r="B1" s="58"/>
      <c r="C1" s="58"/>
      <c r="D1" s="58"/>
      <c r="E1" s="58"/>
      <c r="F1" s="58"/>
      <c r="G1" s="58"/>
      <c r="H1" s="58"/>
      <c r="I1" s="58"/>
      <c r="J1" s="58"/>
      <c r="K1" s="58"/>
      <c r="L1" s="58"/>
      <c r="M1" s="96">
        <f>'Losango 30'!M1</f>
        <v>0</v>
      </c>
      <c r="T1" s="2431" t="s">
        <v>833</v>
      </c>
      <c r="U1" s="2432"/>
    </row>
    <row r="2" spans="1:21" ht="13" thickBot="1">
      <c r="A2" s="2438" t="s">
        <v>859</v>
      </c>
      <c r="B2" s="2439"/>
      <c r="C2" s="2439"/>
      <c r="D2" s="2439"/>
      <c r="E2" s="2439"/>
      <c r="F2" s="2439"/>
      <c r="G2" s="2440"/>
      <c r="H2" s="58"/>
      <c r="I2" s="95"/>
      <c r="J2" s="94" t="s">
        <v>860</v>
      </c>
      <c r="K2" s="94"/>
      <c r="L2" s="94" t="s">
        <v>836</v>
      </c>
      <c r="M2" s="93"/>
      <c r="O2" s="85" t="s">
        <v>860</v>
      </c>
      <c r="P2" s="85" t="s">
        <v>860</v>
      </c>
      <c r="Q2" s="2443" t="s">
        <v>821</v>
      </c>
      <c r="R2" s="2444"/>
      <c r="T2" s="2441" t="s">
        <v>861</v>
      </c>
      <c r="U2" s="2450"/>
    </row>
    <row r="3" spans="1:21" ht="13" thickBot="1">
      <c r="A3" s="58"/>
      <c r="B3" s="58"/>
      <c r="C3" s="58"/>
      <c r="D3" s="58"/>
      <c r="E3" s="58"/>
      <c r="F3" s="58"/>
      <c r="G3" s="58"/>
      <c r="H3" s="58"/>
      <c r="I3" s="58"/>
      <c r="J3" s="58"/>
      <c r="K3" s="58"/>
      <c r="L3" s="58"/>
      <c r="M3" s="58"/>
      <c r="O3" s="86" t="s">
        <v>844</v>
      </c>
      <c r="P3" s="85" t="s">
        <v>845</v>
      </c>
      <c r="Q3" s="81" t="s">
        <v>261</v>
      </c>
      <c r="R3" s="81" t="s">
        <v>846</v>
      </c>
      <c r="T3" s="80" t="s">
        <v>858</v>
      </c>
      <c r="U3" s="79" t="s">
        <v>261</v>
      </c>
    </row>
    <row r="4" spans="1:21">
      <c r="A4" s="86">
        <v>1</v>
      </c>
      <c r="B4" s="72">
        <f>'3Orçto'!D6</f>
        <v>26500</v>
      </c>
      <c r="C4" s="71">
        <v>0.01</v>
      </c>
      <c r="D4" s="70">
        <f>D5+(D5*C4)</f>
        <v>936.31222768146847</v>
      </c>
      <c r="E4" s="74">
        <f t="shared" ref="E4:E39" si="0">B4*A4</f>
        <v>26500</v>
      </c>
      <c r="F4" s="69">
        <f t="shared" ref="F4:F39" si="1">($E$5/D4)*1000</f>
        <v>28302.524752475245</v>
      </c>
      <c r="G4" s="68">
        <f t="shared" ref="G4:G39" si="2">F4/A4</f>
        <v>28302.524752475245</v>
      </c>
      <c r="H4" s="73"/>
      <c r="I4" s="72">
        <f t="shared" ref="I4:I39" si="3">B4</f>
        <v>26500</v>
      </c>
      <c r="J4" s="71">
        <v>0.01</v>
      </c>
      <c r="K4" s="70">
        <f>K5+(K5*J4)</f>
        <v>923.60590376209382</v>
      </c>
      <c r="L4" s="69">
        <f t="shared" ref="L4:L39" si="4">($E$5/K4)*1000</f>
        <v>28691.891089108911</v>
      </c>
      <c r="M4" s="68">
        <f t="shared" ref="M4:M39" si="5">L4/A4</f>
        <v>28691.891089108911</v>
      </c>
      <c r="O4" s="63">
        <f t="shared" ref="O4:O39" si="6">M4+(M4*$M$1)</f>
        <v>28691.891089108911</v>
      </c>
      <c r="P4" s="91">
        <f t="shared" ref="P4:P39" si="7">O4*A4</f>
        <v>28691.891089108911</v>
      </c>
      <c r="Q4" s="63">
        <f t="shared" ref="Q4:Q39" si="8">P4-$I$4</f>
        <v>2191.8910891089108</v>
      </c>
      <c r="R4" s="63">
        <f t="shared" ref="R4:R39" si="9">Q4/A4</f>
        <v>2191.8910891089108</v>
      </c>
      <c r="T4" s="76">
        <f t="shared" ref="T4:T39" ca="1" si="10">SUM(O4*fator)+O4</f>
        <v>28691.891089108911</v>
      </c>
      <c r="U4" s="76">
        <f t="shared" ref="U4:U39" ca="1" si="11">T4*A4</f>
        <v>28691.891089108911</v>
      </c>
    </row>
    <row r="5" spans="1:21">
      <c r="A5" s="73">
        <v>2</v>
      </c>
      <c r="B5" s="72">
        <f t="shared" ref="B5:B39" si="12">$B$4/A5</f>
        <v>13250</v>
      </c>
      <c r="C5" s="71">
        <v>7.2958190414387669E-2</v>
      </c>
      <c r="D5" s="70">
        <v>927.04180958561233</v>
      </c>
      <c r="E5" s="74">
        <f t="shared" si="0"/>
        <v>26500</v>
      </c>
      <c r="F5" s="69">
        <f t="shared" si="1"/>
        <v>28585.55</v>
      </c>
      <c r="G5" s="74">
        <f t="shared" si="2"/>
        <v>14292.775</v>
      </c>
      <c r="H5" s="73"/>
      <c r="I5" s="72">
        <f t="shared" si="3"/>
        <v>13250</v>
      </c>
      <c r="J5" s="71">
        <v>8.5538709146441794E-2</v>
      </c>
      <c r="K5" s="70">
        <v>914.46129085355824</v>
      </c>
      <c r="L5" s="69">
        <f t="shared" si="4"/>
        <v>28978.809999999998</v>
      </c>
      <c r="M5" s="74">
        <f t="shared" si="5"/>
        <v>14489.404999999999</v>
      </c>
      <c r="O5" s="63">
        <f t="shared" si="6"/>
        <v>14489.404999999999</v>
      </c>
      <c r="P5" s="91">
        <f t="shared" si="7"/>
        <v>28978.809999999998</v>
      </c>
      <c r="Q5" s="63">
        <f t="shared" si="8"/>
        <v>2478.8099999999977</v>
      </c>
      <c r="R5" s="63">
        <f t="shared" si="9"/>
        <v>1239.4049999999988</v>
      </c>
      <c r="T5" s="76">
        <f t="shared" ca="1" si="10"/>
        <v>14489.404999999999</v>
      </c>
      <c r="U5" s="61">
        <f t="shared" ca="1" si="11"/>
        <v>28978.809999999998</v>
      </c>
    </row>
    <row r="6" spans="1:21">
      <c r="A6" s="73">
        <v>3</v>
      </c>
      <c r="B6" s="72">
        <f t="shared" si="12"/>
        <v>8833.3333333333339</v>
      </c>
      <c r="C6" s="71">
        <v>8.2863300774980497E-2</v>
      </c>
      <c r="D6" s="70">
        <v>917.13669922501947</v>
      </c>
      <c r="E6" s="74">
        <f t="shared" si="0"/>
        <v>26500</v>
      </c>
      <c r="F6" s="69">
        <f t="shared" si="1"/>
        <v>28894.275000000001</v>
      </c>
      <c r="G6" s="74">
        <f t="shared" si="2"/>
        <v>9631.4250000000011</v>
      </c>
      <c r="H6" s="73"/>
      <c r="I6" s="72">
        <f t="shared" si="3"/>
        <v>8833.3333333333339</v>
      </c>
      <c r="J6" s="71">
        <v>9.7024696374554131E-2</v>
      </c>
      <c r="K6" s="70">
        <v>902.97530362544592</v>
      </c>
      <c r="L6" s="69">
        <f t="shared" si="4"/>
        <v>29347.424999999999</v>
      </c>
      <c r="M6" s="74">
        <f t="shared" si="5"/>
        <v>9782.4750000000004</v>
      </c>
      <c r="O6" s="63">
        <f t="shared" si="6"/>
        <v>9782.4750000000004</v>
      </c>
      <c r="P6" s="91">
        <f t="shared" si="7"/>
        <v>29347.425000000003</v>
      </c>
      <c r="Q6" s="63">
        <f t="shared" si="8"/>
        <v>2847.4250000000029</v>
      </c>
      <c r="R6" s="63">
        <f t="shared" si="9"/>
        <v>949.14166666666767</v>
      </c>
      <c r="T6" s="76">
        <f t="shared" ca="1" si="10"/>
        <v>9782.4750000000004</v>
      </c>
      <c r="U6" s="61">
        <f t="shared" ca="1" si="11"/>
        <v>29347.425000000003</v>
      </c>
    </row>
    <row r="7" spans="1:21">
      <c r="A7" s="73">
        <v>4</v>
      </c>
      <c r="B7" s="72">
        <f t="shared" si="12"/>
        <v>6625</v>
      </c>
      <c r="C7" s="71">
        <v>9.2624854819976732E-2</v>
      </c>
      <c r="D7" s="70">
        <v>907.37514518002331</v>
      </c>
      <c r="E7" s="74">
        <f t="shared" si="0"/>
        <v>26500</v>
      </c>
      <c r="F7" s="69">
        <f t="shared" si="1"/>
        <v>29205.119999999999</v>
      </c>
      <c r="G7" s="74">
        <f t="shared" si="2"/>
        <v>7301.28</v>
      </c>
      <c r="H7" s="73"/>
      <c r="I7" s="72">
        <f t="shared" si="3"/>
        <v>6625</v>
      </c>
      <c r="J7" s="71">
        <v>0.10832114705567641</v>
      </c>
      <c r="K7" s="70">
        <v>891.67885294432358</v>
      </c>
      <c r="L7" s="69">
        <f t="shared" si="4"/>
        <v>29719.22</v>
      </c>
      <c r="M7" s="74">
        <f t="shared" si="5"/>
        <v>7429.8050000000003</v>
      </c>
      <c r="O7" s="63">
        <f t="shared" si="6"/>
        <v>7429.8050000000003</v>
      </c>
      <c r="P7" s="91">
        <f t="shared" si="7"/>
        <v>29719.22</v>
      </c>
      <c r="Q7" s="63">
        <f t="shared" si="8"/>
        <v>3219.2200000000012</v>
      </c>
      <c r="R7" s="63">
        <f t="shared" si="9"/>
        <v>804.80500000000029</v>
      </c>
      <c r="T7" s="76">
        <f t="shared" ca="1" si="10"/>
        <v>7429.8050000000003</v>
      </c>
      <c r="U7" s="61">
        <f t="shared" ca="1" si="11"/>
        <v>29719.22</v>
      </c>
    </row>
    <row r="8" spans="1:21">
      <c r="A8" s="73">
        <v>5</v>
      </c>
      <c r="B8" s="72">
        <f t="shared" si="12"/>
        <v>5300</v>
      </c>
      <c r="C8" s="71">
        <v>0.10225334410629328</v>
      </c>
      <c r="D8" s="70">
        <v>897.7466558937067</v>
      </c>
      <c r="E8" s="74">
        <f t="shared" si="0"/>
        <v>26500</v>
      </c>
      <c r="F8" s="69">
        <f t="shared" si="1"/>
        <v>29518.350000000002</v>
      </c>
      <c r="G8" s="74">
        <f t="shared" si="2"/>
        <v>5903.67</v>
      </c>
      <c r="H8" s="73"/>
      <c r="I8" s="72">
        <f t="shared" si="3"/>
        <v>5300</v>
      </c>
      <c r="J8" s="71">
        <v>0.11944701272399061</v>
      </c>
      <c r="K8" s="70">
        <v>880.55298727600939</v>
      </c>
      <c r="L8" s="69">
        <f t="shared" si="4"/>
        <v>30094.724999999999</v>
      </c>
      <c r="M8" s="74">
        <f t="shared" si="5"/>
        <v>6018.9449999999997</v>
      </c>
      <c r="O8" s="63">
        <f t="shared" si="6"/>
        <v>6018.9449999999997</v>
      </c>
      <c r="P8" s="91">
        <f t="shared" si="7"/>
        <v>30094.724999999999</v>
      </c>
      <c r="Q8" s="63">
        <f t="shared" si="8"/>
        <v>3594.7249999999985</v>
      </c>
      <c r="R8" s="63">
        <f t="shared" si="9"/>
        <v>718.94499999999971</v>
      </c>
      <c r="T8" s="76">
        <f t="shared" ca="1" si="10"/>
        <v>6018.9449999999997</v>
      </c>
      <c r="U8" s="61">
        <f t="shared" ca="1" si="11"/>
        <v>30094.724999999999</v>
      </c>
    </row>
    <row r="9" spans="1:21">
      <c r="A9" s="73">
        <v>6</v>
      </c>
      <c r="B9" s="72">
        <f t="shared" si="12"/>
        <v>4416.666666666667</v>
      </c>
      <c r="C9" s="71">
        <v>0.11172698040469708</v>
      </c>
      <c r="D9" s="70">
        <v>888.27301959530291</v>
      </c>
      <c r="E9" s="74">
        <f t="shared" si="0"/>
        <v>26500</v>
      </c>
      <c r="F9" s="69">
        <f t="shared" si="1"/>
        <v>29833.169999999995</v>
      </c>
      <c r="G9" s="74">
        <f t="shared" si="2"/>
        <v>4972.1949999999988</v>
      </c>
      <c r="H9" s="73"/>
      <c r="I9" s="72">
        <f t="shared" si="3"/>
        <v>4416.666666666667</v>
      </c>
      <c r="J9" s="71">
        <v>0.13035916166623185</v>
      </c>
      <c r="K9" s="70">
        <v>869.6408383337681</v>
      </c>
      <c r="L9" s="69">
        <f t="shared" si="4"/>
        <v>30472.350000000002</v>
      </c>
      <c r="M9" s="74">
        <f t="shared" si="5"/>
        <v>5078.7250000000004</v>
      </c>
      <c r="O9" s="63">
        <f t="shared" si="6"/>
        <v>5078.7250000000004</v>
      </c>
      <c r="P9" s="91">
        <f t="shared" si="7"/>
        <v>30472.350000000002</v>
      </c>
      <c r="Q9" s="63">
        <f t="shared" si="8"/>
        <v>3972.3500000000022</v>
      </c>
      <c r="R9" s="63">
        <f t="shared" si="9"/>
        <v>662.05833333333374</v>
      </c>
      <c r="T9" s="76">
        <f t="shared" ca="1" si="10"/>
        <v>5078.7250000000004</v>
      </c>
      <c r="U9" s="61">
        <f t="shared" ca="1" si="11"/>
        <v>30472.350000000002</v>
      </c>
    </row>
    <row r="10" spans="1:21">
      <c r="A10" s="73">
        <v>7</v>
      </c>
      <c r="B10" s="72">
        <f t="shared" si="12"/>
        <v>3785.7142857142858</v>
      </c>
      <c r="C10" s="71">
        <v>0.1210413901609374</v>
      </c>
      <c r="D10" s="70">
        <v>878.95860983906255</v>
      </c>
      <c r="E10" s="74">
        <f t="shared" si="0"/>
        <v>26500</v>
      </c>
      <c r="F10" s="69">
        <f t="shared" si="1"/>
        <v>30149.315000000006</v>
      </c>
      <c r="G10" s="74">
        <f t="shared" si="2"/>
        <v>4307.045000000001</v>
      </c>
      <c r="H10" s="73"/>
      <c r="I10" s="72">
        <f t="shared" si="3"/>
        <v>3785.7142857142858</v>
      </c>
      <c r="J10" s="71">
        <v>0.14112220972077882</v>
      </c>
      <c r="K10" s="70">
        <v>858.87779027922113</v>
      </c>
      <c r="L10" s="69">
        <f t="shared" si="4"/>
        <v>30854.215</v>
      </c>
      <c r="M10" s="74">
        <f t="shared" si="5"/>
        <v>4407.7449999999999</v>
      </c>
      <c r="O10" s="63">
        <f t="shared" si="6"/>
        <v>4407.7449999999999</v>
      </c>
      <c r="P10" s="91">
        <f t="shared" si="7"/>
        <v>30854.215</v>
      </c>
      <c r="Q10" s="63">
        <f t="shared" si="8"/>
        <v>4354.2150000000001</v>
      </c>
      <c r="R10" s="63">
        <f t="shared" si="9"/>
        <v>622.03071428571434</v>
      </c>
      <c r="T10" s="76">
        <f t="shared" ca="1" si="10"/>
        <v>4407.7449999999999</v>
      </c>
      <c r="U10" s="61">
        <f t="shared" ca="1" si="11"/>
        <v>30854.215</v>
      </c>
    </row>
    <row r="11" spans="1:21">
      <c r="A11" s="73">
        <v>8</v>
      </c>
      <c r="B11" s="72">
        <f t="shared" si="12"/>
        <v>3312.5</v>
      </c>
      <c r="C11" s="71">
        <v>0.13025327024770383</v>
      </c>
      <c r="D11" s="70">
        <v>869.74672975229612</v>
      </c>
      <c r="E11" s="74">
        <f t="shared" si="0"/>
        <v>26500</v>
      </c>
      <c r="F11" s="69">
        <f t="shared" si="1"/>
        <v>30468.639999999999</v>
      </c>
      <c r="G11" s="74">
        <f t="shared" si="2"/>
        <v>3808.58</v>
      </c>
      <c r="H11" s="73"/>
      <c r="I11" s="72">
        <f t="shared" si="3"/>
        <v>3312.5</v>
      </c>
      <c r="J11" s="71">
        <v>0.15167967424499496</v>
      </c>
      <c r="K11" s="70">
        <v>848.320325755005</v>
      </c>
      <c r="L11" s="69">
        <f t="shared" si="4"/>
        <v>31238.200000000004</v>
      </c>
      <c r="M11" s="74">
        <f t="shared" si="5"/>
        <v>3904.7750000000005</v>
      </c>
      <c r="O11" s="63">
        <f t="shared" si="6"/>
        <v>3904.7750000000005</v>
      </c>
      <c r="P11" s="91">
        <f t="shared" si="7"/>
        <v>31238.200000000004</v>
      </c>
      <c r="Q11" s="63">
        <f t="shared" si="8"/>
        <v>4738.2000000000044</v>
      </c>
      <c r="R11" s="63">
        <f t="shared" si="9"/>
        <v>592.27500000000055</v>
      </c>
      <c r="T11" s="76">
        <f t="shared" ca="1" si="10"/>
        <v>3904.7750000000005</v>
      </c>
      <c r="U11" s="61">
        <f t="shared" ca="1" si="11"/>
        <v>31238.200000000004</v>
      </c>
    </row>
    <row r="12" spans="1:21">
      <c r="A12" s="73">
        <v>9</v>
      </c>
      <c r="B12" s="72">
        <f t="shared" si="12"/>
        <v>2944.4444444444443</v>
      </c>
      <c r="C12" s="71">
        <v>0.13934073500301225</v>
      </c>
      <c r="D12" s="70">
        <v>860.65926499698776</v>
      </c>
      <c r="E12" s="74">
        <f t="shared" si="0"/>
        <v>26500</v>
      </c>
      <c r="F12" s="69">
        <f t="shared" si="1"/>
        <v>30790.349999999995</v>
      </c>
      <c r="G12" s="74">
        <f t="shared" si="2"/>
        <v>3421.1499999999996</v>
      </c>
      <c r="H12" s="73"/>
      <c r="I12" s="72">
        <f t="shared" si="3"/>
        <v>2944.4444444444443</v>
      </c>
      <c r="J12" s="71">
        <v>0.16205798558739737</v>
      </c>
      <c r="K12" s="70">
        <v>837.94201441260259</v>
      </c>
      <c r="L12" s="69">
        <f t="shared" si="4"/>
        <v>31625.100000000002</v>
      </c>
      <c r="M12" s="74">
        <f t="shared" si="5"/>
        <v>3513.9</v>
      </c>
      <c r="O12" s="63">
        <f t="shared" si="6"/>
        <v>3513.9</v>
      </c>
      <c r="P12" s="91">
        <f t="shared" si="7"/>
        <v>31625.100000000002</v>
      </c>
      <c r="Q12" s="63">
        <f t="shared" si="8"/>
        <v>5125.1000000000022</v>
      </c>
      <c r="R12" s="63">
        <f t="shared" si="9"/>
        <v>569.45555555555575</v>
      </c>
      <c r="T12" s="76">
        <f t="shared" ca="1" si="10"/>
        <v>3513.9</v>
      </c>
      <c r="U12" s="61">
        <f t="shared" ca="1" si="11"/>
        <v>31625.100000000002</v>
      </c>
    </row>
    <row r="13" spans="1:21">
      <c r="A13" s="73">
        <v>10</v>
      </c>
      <c r="B13" s="72">
        <f t="shared" si="12"/>
        <v>2650</v>
      </c>
      <c r="C13" s="71">
        <v>0.14828379184055884</v>
      </c>
      <c r="D13" s="70">
        <v>851.71620815944118</v>
      </c>
      <c r="E13" s="74">
        <f t="shared" si="0"/>
        <v>26500</v>
      </c>
      <c r="F13" s="69">
        <f t="shared" si="1"/>
        <v>31113.650000000005</v>
      </c>
      <c r="G13" s="74">
        <f t="shared" si="2"/>
        <v>3111.3650000000007</v>
      </c>
      <c r="H13" s="73"/>
      <c r="I13" s="72">
        <f t="shared" si="3"/>
        <v>2650</v>
      </c>
      <c r="J13" s="71">
        <v>0.17225395248737685</v>
      </c>
      <c r="K13" s="70">
        <v>827.74604751262314</v>
      </c>
      <c r="L13" s="69">
        <f t="shared" si="4"/>
        <v>32014.65</v>
      </c>
      <c r="M13" s="74">
        <f t="shared" si="5"/>
        <v>3201.4650000000001</v>
      </c>
      <c r="O13" s="63">
        <f t="shared" si="6"/>
        <v>3201.4650000000001</v>
      </c>
      <c r="P13" s="91">
        <f t="shared" si="7"/>
        <v>32014.65</v>
      </c>
      <c r="Q13" s="63">
        <f t="shared" si="8"/>
        <v>5514.6500000000015</v>
      </c>
      <c r="R13" s="63">
        <f t="shared" si="9"/>
        <v>551.46500000000015</v>
      </c>
      <c r="T13" s="76">
        <f t="shared" ca="1" si="10"/>
        <v>3201.4650000000001</v>
      </c>
      <c r="U13" s="61">
        <f t="shared" ca="1" si="11"/>
        <v>32014.65</v>
      </c>
    </row>
    <row r="14" spans="1:21">
      <c r="A14" s="73">
        <v>11</v>
      </c>
      <c r="B14" s="72">
        <f t="shared" si="12"/>
        <v>2409.090909090909</v>
      </c>
      <c r="C14" s="71">
        <v>0.15715658344992667</v>
      </c>
      <c r="D14" s="70">
        <v>842.84341655007336</v>
      </c>
      <c r="E14" s="74">
        <f t="shared" si="0"/>
        <v>26500</v>
      </c>
      <c r="F14" s="69">
        <f t="shared" si="1"/>
        <v>31441.19</v>
      </c>
      <c r="G14" s="74">
        <f t="shared" si="2"/>
        <v>2858.29</v>
      </c>
      <c r="H14" s="73"/>
      <c r="I14" s="72">
        <f t="shared" si="3"/>
        <v>2409.090909090909</v>
      </c>
      <c r="J14" s="71">
        <v>0.18232514023123858</v>
      </c>
      <c r="K14" s="70">
        <v>817.67485976876139</v>
      </c>
      <c r="L14" s="69">
        <f t="shared" si="4"/>
        <v>32408.970000000005</v>
      </c>
      <c r="M14" s="74">
        <f t="shared" si="5"/>
        <v>2946.2700000000004</v>
      </c>
      <c r="O14" s="63">
        <f t="shared" si="6"/>
        <v>2946.2700000000004</v>
      </c>
      <c r="P14" s="91">
        <f t="shared" si="7"/>
        <v>32408.970000000005</v>
      </c>
      <c r="Q14" s="63">
        <f t="shared" si="8"/>
        <v>5908.9700000000048</v>
      </c>
      <c r="R14" s="63">
        <f t="shared" si="9"/>
        <v>537.17909090909131</v>
      </c>
      <c r="T14" s="76">
        <f t="shared" ca="1" si="10"/>
        <v>2946.2700000000004</v>
      </c>
      <c r="U14" s="61">
        <f t="shared" ca="1" si="11"/>
        <v>32408.970000000005</v>
      </c>
    </row>
    <row r="15" spans="1:21">
      <c r="A15" s="73">
        <v>12</v>
      </c>
      <c r="B15" s="72">
        <f t="shared" si="12"/>
        <v>2208.3333333333335</v>
      </c>
      <c r="C15" s="71">
        <v>0.16583249916583254</v>
      </c>
      <c r="D15" s="70">
        <v>834.16750083416741</v>
      </c>
      <c r="E15" s="74">
        <f t="shared" si="0"/>
        <v>26500</v>
      </c>
      <c r="F15" s="69">
        <f t="shared" si="1"/>
        <v>31768.200000000004</v>
      </c>
      <c r="G15" s="74">
        <f t="shared" si="2"/>
        <v>2647.3500000000004</v>
      </c>
      <c r="H15" s="73"/>
      <c r="I15" s="72">
        <f t="shared" si="3"/>
        <v>2208.3333333333335</v>
      </c>
      <c r="J15" s="71">
        <v>0.19219335659816472</v>
      </c>
      <c r="K15" s="70">
        <v>807.80664340183523</v>
      </c>
      <c r="L15" s="69">
        <f t="shared" si="4"/>
        <v>32804.880000000005</v>
      </c>
      <c r="M15" s="74">
        <f t="shared" si="5"/>
        <v>2733.7400000000002</v>
      </c>
      <c r="O15" s="63">
        <f t="shared" si="6"/>
        <v>2733.7400000000002</v>
      </c>
      <c r="P15" s="91">
        <f t="shared" si="7"/>
        <v>32804.880000000005</v>
      </c>
      <c r="Q15" s="63">
        <f t="shared" si="8"/>
        <v>6304.8800000000047</v>
      </c>
      <c r="R15" s="63">
        <f t="shared" si="9"/>
        <v>525.40666666666709</v>
      </c>
      <c r="T15" s="76">
        <f t="shared" ca="1" si="10"/>
        <v>2733.7400000000002</v>
      </c>
      <c r="U15" s="61">
        <f t="shared" ca="1" si="11"/>
        <v>32804.880000000005</v>
      </c>
    </row>
    <row r="16" spans="1:21">
      <c r="A16" s="73">
        <v>13</v>
      </c>
      <c r="B16" s="72">
        <f t="shared" si="12"/>
        <v>2038.4615384615386</v>
      </c>
      <c r="C16" s="71">
        <v>0.17446794459028847</v>
      </c>
      <c r="D16" s="70">
        <v>825.53205540971157</v>
      </c>
      <c r="E16" s="74">
        <f t="shared" si="0"/>
        <v>26500</v>
      </c>
      <c r="F16" s="69">
        <f t="shared" si="1"/>
        <v>32100.51</v>
      </c>
      <c r="G16" s="74">
        <f t="shared" si="2"/>
        <v>2469.27</v>
      </c>
      <c r="H16" s="73"/>
      <c r="I16" s="72">
        <f t="shared" si="3"/>
        <v>2038.4615384615386</v>
      </c>
      <c r="J16" s="71">
        <v>0.20195998627371181</v>
      </c>
      <c r="K16" s="70">
        <v>798.04001372628818</v>
      </c>
      <c r="L16" s="69">
        <f t="shared" si="4"/>
        <v>33206.355000000003</v>
      </c>
      <c r="M16" s="74">
        <f t="shared" si="5"/>
        <v>2554.335</v>
      </c>
      <c r="O16" s="63">
        <f t="shared" si="6"/>
        <v>2554.335</v>
      </c>
      <c r="P16" s="91">
        <f t="shared" si="7"/>
        <v>33206.355000000003</v>
      </c>
      <c r="Q16" s="63">
        <f t="shared" si="8"/>
        <v>6706.3550000000032</v>
      </c>
      <c r="R16" s="63">
        <f t="shared" si="9"/>
        <v>515.87346153846181</v>
      </c>
      <c r="T16" s="76">
        <f t="shared" ca="1" si="10"/>
        <v>2554.335</v>
      </c>
      <c r="U16" s="61">
        <f t="shared" ca="1" si="11"/>
        <v>33206.355000000003</v>
      </c>
    </row>
    <row r="17" spans="1:21">
      <c r="A17" s="73">
        <v>14</v>
      </c>
      <c r="B17" s="72">
        <f t="shared" si="12"/>
        <v>1892.8571428571429</v>
      </c>
      <c r="C17" s="71">
        <v>0.18292643069581982</v>
      </c>
      <c r="D17" s="70">
        <v>817.07356930418018</v>
      </c>
      <c r="E17" s="74">
        <f t="shared" si="0"/>
        <v>26500</v>
      </c>
      <c r="F17" s="69">
        <f t="shared" si="1"/>
        <v>32432.82</v>
      </c>
      <c r="G17" s="74">
        <f t="shared" si="2"/>
        <v>2316.63</v>
      </c>
      <c r="H17" s="73"/>
      <c r="I17" s="72">
        <f t="shared" si="3"/>
        <v>1892.8571428571429</v>
      </c>
      <c r="J17" s="71">
        <v>0.21151814296753035</v>
      </c>
      <c r="K17" s="70">
        <v>788.48185703246963</v>
      </c>
      <c r="L17" s="69">
        <f t="shared" si="4"/>
        <v>33608.89</v>
      </c>
      <c r="M17" s="74">
        <f t="shared" si="5"/>
        <v>2400.6349999999998</v>
      </c>
      <c r="O17" s="63">
        <f t="shared" si="6"/>
        <v>2400.6349999999998</v>
      </c>
      <c r="P17" s="91">
        <f t="shared" si="7"/>
        <v>33608.89</v>
      </c>
      <c r="Q17" s="63">
        <f t="shared" si="8"/>
        <v>7108.8899999999994</v>
      </c>
      <c r="R17" s="63">
        <f t="shared" si="9"/>
        <v>507.7778571428571</v>
      </c>
      <c r="T17" s="76">
        <f t="shared" ca="1" si="10"/>
        <v>2400.6349999999998</v>
      </c>
      <c r="U17" s="61">
        <f t="shared" ca="1" si="11"/>
        <v>33608.89</v>
      </c>
    </row>
    <row r="18" spans="1:21">
      <c r="A18" s="73">
        <v>15</v>
      </c>
      <c r="B18" s="72">
        <f t="shared" si="12"/>
        <v>1766.6666666666667</v>
      </c>
      <c r="C18" s="71">
        <v>0.19123296534433254</v>
      </c>
      <c r="D18" s="70">
        <v>808.76703465566743</v>
      </c>
      <c r="E18" s="74">
        <f t="shared" si="0"/>
        <v>26500</v>
      </c>
      <c r="F18" s="69">
        <f t="shared" si="1"/>
        <v>32765.925000000003</v>
      </c>
      <c r="G18" s="74">
        <f t="shared" si="2"/>
        <v>2184.395</v>
      </c>
      <c r="H18" s="73"/>
      <c r="I18" s="72">
        <f t="shared" si="3"/>
        <v>1766.6666666666667</v>
      </c>
      <c r="J18" s="71">
        <v>0.22091075532702265</v>
      </c>
      <c r="K18" s="70">
        <v>779.08924467297732</v>
      </c>
      <c r="L18" s="69">
        <f t="shared" si="4"/>
        <v>34014.074999999997</v>
      </c>
      <c r="M18" s="74">
        <f t="shared" si="5"/>
        <v>2267.605</v>
      </c>
      <c r="O18" s="63">
        <f t="shared" si="6"/>
        <v>2267.605</v>
      </c>
      <c r="P18" s="91">
        <f t="shared" si="7"/>
        <v>34014.074999999997</v>
      </c>
      <c r="Q18" s="63">
        <f t="shared" si="8"/>
        <v>7514.0749999999971</v>
      </c>
      <c r="R18" s="63">
        <f t="shared" si="9"/>
        <v>500.93833333333316</v>
      </c>
      <c r="T18" s="76">
        <f t="shared" ca="1" si="10"/>
        <v>2267.605</v>
      </c>
      <c r="U18" s="61">
        <f t="shared" ca="1" si="11"/>
        <v>34014.074999999997</v>
      </c>
    </row>
    <row r="19" spans="1:21">
      <c r="A19" s="73">
        <v>16</v>
      </c>
      <c r="B19" s="72">
        <f t="shared" si="12"/>
        <v>1656.25</v>
      </c>
      <c r="C19" s="71">
        <v>0.19943640322787237</v>
      </c>
      <c r="D19" s="70">
        <v>800.56359677212765</v>
      </c>
      <c r="E19" s="74">
        <f t="shared" si="0"/>
        <v>26500</v>
      </c>
      <c r="F19" s="69">
        <f t="shared" si="1"/>
        <v>33101.679999999993</v>
      </c>
      <c r="G19" s="74">
        <f t="shared" si="2"/>
        <v>2068.8549999999996</v>
      </c>
      <c r="H19" s="73"/>
      <c r="I19" s="72">
        <f t="shared" si="3"/>
        <v>1656.25</v>
      </c>
      <c r="J19" s="71">
        <v>0.23010593742301066</v>
      </c>
      <c r="K19" s="70">
        <v>769.89406257698931</v>
      </c>
      <c r="L19" s="69">
        <f t="shared" si="4"/>
        <v>34420.320000000007</v>
      </c>
      <c r="M19" s="74">
        <f t="shared" si="5"/>
        <v>2151.2700000000004</v>
      </c>
      <c r="O19" s="63">
        <f t="shared" si="6"/>
        <v>2151.2700000000004</v>
      </c>
      <c r="P19" s="91">
        <f t="shared" si="7"/>
        <v>34420.320000000007</v>
      </c>
      <c r="Q19" s="63">
        <f t="shared" si="8"/>
        <v>7920.320000000007</v>
      </c>
      <c r="R19" s="63">
        <f t="shared" si="9"/>
        <v>495.02000000000044</v>
      </c>
      <c r="T19" s="76">
        <f t="shared" ca="1" si="10"/>
        <v>2151.2700000000004</v>
      </c>
      <c r="U19" s="61">
        <f t="shared" ca="1" si="11"/>
        <v>34420.320000000007</v>
      </c>
    </row>
    <row r="20" spans="1:21">
      <c r="A20" s="73">
        <v>17</v>
      </c>
      <c r="B20" s="72">
        <f t="shared" si="12"/>
        <v>1558.8235294117646</v>
      </c>
      <c r="C20" s="71">
        <v>0.20755045922450899</v>
      </c>
      <c r="D20" s="70">
        <v>792.44954077549096</v>
      </c>
      <c r="E20" s="74">
        <f t="shared" si="0"/>
        <v>26500</v>
      </c>
      <c r="F20" s="69">
        <f t="shared" si="1"/>
        <v>33440.615000000005</v>
      </c>
      <c r="G20" s="74">
        <f t="shared" si="2"/>
        <v>1967.0950000000003</v>
      </c>
      <c r="H20" s="73"/>
      <c r="I20" s="72">
        <f t="shared" si="3"/>
        <v>1558.8235294117646</v>
      </c>
      <c r="J20" s="71">
        <v>0.23921974376920963</v>
      </c>
      <c r="K20" s="70">
        <v>760.78025623079043</v>
      </c>
      <c r="L20" s="69">
        <f t="shared" si="4"/>
        <v>34832.659999999996</v>
      </c>
      <c r="M20" s="74">
        <f t="shared" si="5"/>
        <v>2048.9799999999996</v>
      </c>
      <c r="O20" s="63">
        <f t="shared" si="6"/>
        <v>2048.9799999999996</v>
      </c>
      <c r="P20" s="91">
        <f t="shared" si="7"/>
        <v>34832.659999999989</v>
      </c>
      <c r="Q20" s="63">
        <f t="shared" si="8"/>
        <v>8332.6599999999889</v>
      </c>
      <c r="R20" s="63">
        <f t="shared" si="9"/>
        <v>490.15647058823464</v>
      </c>
      <c r="T20" s="76">
        <f t="shared" ca="1" si="10"/>
        <v>2048.9799999999996</v>
      </c>
      <c r="U20" s="61">
        <f t="shared" ca="1" si="11"/>
        <v>34832.659999999989</v>
      </c>
    </row>
    <row r="21" spans="1:21">
      <c r="A21" s="73">
        <v>18</v>
      </c>
      <c r="B21" s="72">
        <f t="shared" si="12"/>
        <v>1472.2222222222222</v>
      </c>
      <c r="C21" s="71">
        <v>0.21553861118955719</v>
      </c>
      <c r="D21" s="70">
        <v>784.46138881044283</v>
      </c>
      <c r="E21" s="74">
        <f t="shared" si="0"/>
        <v>26500</v>
      </c>
      <c r="F21" s="69">
        <f t="shared" si="1"/>
        <v>33781.139999999992</v>
      </c>
      <c r="G21" s="74">
        <f t="shared" si="2"/>
        <v>1876.7299999999996</v>
      </c>
      <c r="H21" s="73"/>
      <c r="I21" s="72">
        <f t="shared" si="3"/>
        <v>1472.2222222222222</v>
      </c>
      <c r="J21" s="71">
        <v>0.24823334836866628</v>
      </c>
      <c r="K21" s="70">
        <v>751.76665163133373</v>
      </c>
      <c r="L21" s="69">
        <f t="shared" si="4"/>
        <v>35250.299999999996</v>
      </c>
      <c r="M21" s="74">
        <f t="shared" si="5"/>
        <v>1958.3499999999997</v>
      </c>
      <c r="O21" s="63">
        <f t="shared" si="6"/>
        <v>1958.3499999999997</v>
      </c>
      <c r="P21" s="91">
        <f t="shared" si="7"/>
        <v>35250.299999999996</v>
      </c>
      <c r="Q21" s="63">
        <f t="shared" si="8"/>
        <v>8750.2999999999956</v>
      </c>
      <c r="R21" s="63">
        <f t="shared" si="9"/>
        <v>486.12777777777751</v>
      </c>
      <c r="T21" s="76">
        <f t="shared" ca="1" si="10"/>
        <v>1958.3499999999997</v>
      </c>
      <c r="U21" s="61">
        <f t="shared" ca="1" si="11"/>
        <v>35250.299999999996</v>
      </c>
    </row>
    <row r="22" spans="1:21">
      <c r="A22" s="73">
        <v>19</v>
      </c>
      <c r="B22" s="72">
        <f t="shared" si="12"/>
        <v>1394.7368421052631</v>
      </c>
      <c r="C22" s="71">
        <v>0.22349396654812015</v>
      </c>
      <c r="D22" s="70">
        <v>776.50603345187983</v>
      </c>
      <c r="E22" s="74">
        <f t="shared" si="0"/>
        <v>26500</v>
      </c>
      <c r="F22" s="69">
        <f t="shared" si="1"/>
        <v>34127.230000000003</v>
      </c>
      <c r="G22" s="74">
        <f t="shared" si="2"/>
        <v>1796.17</v>
      </c>
      <c r="H22" s="73"/>
      <c r="I22" s="72">
        <f t="shared" si="3"/>
        <v>1394.7368421052631</v>
      </c>
      <c r="J22" s="71">
        <v>0.25703587030818154</v>
      </c>
      <c r="K22" s="70">
        <v>742.96412969181847</v>
      </c>
      <c r="L22" s="69">
        <f t="shared" si="4"/>
        <v>35667.94</v>
      </c>
      <c r="M22" s="74">
        <f t="shared" si="5"/>
        <v>1877.2600000000002</v>
      </c>
      <c r="O22" s="63">
        <f t="shared" si="6"/>
        <v>1877.2600000000002</v>
      </c>
      <c r="P22" s="91">
        <f t="shared" si="7"/>
        <v>35667.94</v>
      </c>
      <c r="Q22" s="63">
        <f t="shared" si="8"/>
        <v>9167.9400000000023</v>
      </c>
      <c r="R22" s="63">
        <f t="shared" si="9"/>
        <v>482.52315789473698</v>
      </c>
      <c r="T22" s="76">
        <f t="shared" ca="1" si="10"/>
        <v>1877.2600000000002</v>
      </c>
      <c r="U22" s="61">
        <f t="shared" ca="1" si="11"/>
        <v>35667.94</v>
      </c>
    </row>
    <row r="23" spans="1:21">
      <c r="A23" s="73">
        <v>20</v>
      </c>
      <c r="B23" s="72">
        <f t="shared" si="12"/>
        <v>1325</v>
      </c>
      <c r="C23" s="71">
        <v>0.23124231242312421</v>
      </c>
      <c r="D23" s="70">
        <v>768.75768757687581</v>
      </c>
      <c r="E23" s="74">
        <f t="shared" si="0"/>
        <v>26500</v>
      </c>
      <c r="F23" s="69">
        <f t="shared" si="1"/>
        <v>34471.199999999997</v>
      </c>
      <c r="G23" s="74">
        <f t="shared" si="2"/>
        <v>1723.56</v>
      </c>
      <c r="H23" s="73"/>
      <c r="I23" s="72">
        <f t="shared" si="3"/>
        <v>1325</v>
      </c>
      <c r="J23" s="71">
        <v>0.26567777940960491</v>
      </c>
      <c r="K23" s="70">
        <v>734.32222059039509</v>
      </c>
      <c r="L23" s="69">
        <f t="shared" si="4"/>
        <v>36087.699999999997</v>
      </c>
      <c r="M23" s="74">
        <f t="shared" si="5"/>
        <v>1804.3849999999998</v>
      </c>
      <c r="O23" s="63">
        <f t="shared" si="6"/>
        <v>1804.3849999999998</v>
      </c>
      <c r="P23" s="91">
        <f t="shared" si="7"/>
        <v>36087.699999999997</v>
      </c>
      <c r="Q23" s="63">
        <f t="shared" si="8"/>
        <v>9587.6999999999971</v>
      </c>
      <c r="R23" s="63">
        <f t="shared" si="9"/>
        <v>479.38499999999988</v>
      </c>
      <c r="T23" s="76">
        <f t="shared" ca="1" si="10"/>
        <v>1804.3849999999998</v>
      </c>
      <c r="U23" s="61">
        <f t="shared" ca="1" si="11"/>
        <v>36087.699999999997</v>
      </c>
    </row>
    <row r="24" spans="1:21">
      <c r="A24" s="73">
        <v>21</v>
      </c>
      <c r="B24" s="72">
        <f t="shared" si="12"/>
        <v>1261.9047619047619</v>
      </c>
      <c r="C24" s="71">
        <v>0.23894761676446186</v>
      </c>
      <c r="D24" s="70">
        <v>761.05238323553817</v>
      </c>
      <c r="E24" s="74">
        <f t="shared" si="0"/>
        <v>26500</v>
      </c>
      <c r="F24" s="69">
        <f t="shared" si="1"/>
        <v>34820.204999999994</v>
      </c>
      <c r="G24" s="74">
        <f t="shared" si="2"/>
        <v>1658.1049999999998</v>
      </c>
      <c r="H24" s="73"/>
      <c r="I24" s="72">
        <f t="shared" si="3"/>
        <v>1261.9047619047619</v>
      </c>
      <c r="J24" s="71">
        <v>0.27421052249584488</v>
      </c>
      <c r="K24" s="70">
        <v>725.78947750415512</v>
      </c>
      <c r="L24" s="69">
        <f t="shared" si="4"/>
        <v>36511.965000000004</v>
      </c>
      <c r="M24" s="74">
        <f t="shared" si="5"/>
        <v>1738.6650000000002</v>
      </c>
      <c r="O24" s="63">
        <f t="shared" si="6"/>
        <v>1738.6650000000002</v>
      </c>
      <c r="P24" s="91">
        <f t="shared" si="7"/>
        <v>36511.965000000004</v>
      </c>
      <c r="Q24" s="63">
        <f t="shared" si="8"/>
        <v>10011.965000000004</v>
      </c>
      <c r="R24" s="63">
        <f t="shared" si="9"/>
        <v>476.76023809523826</v>
      </c>
      <c r="T24" s="76">
        <f t="shared" ca="1" si="10"/>
        <v>1738.6650000000002</v>
      </c>
      <c r="U24" s="61">
        <f t="shared" ca="1" si="11"/>
        <v>36511.965000000004</v>
      </c>
    </row>
    <row r="25" spans="1:21">
      <c r="A25" s="73">
        <v>22</v>
      </c>
      <c r="B25" s="72">
        <f t="shared" si="12"/>
        <v>1204.5454545454545</v>
      </c>
      <c r="C25" s="71">
        <v>0.24644321196045338</v>
      </c>
      <c r="D25" s="70">
        <v>753.55678803954663</v>
      </c>
      <c r="E25" s="74">
        <f t="shared" si="0"/>
        <v>26500</v>
      </c>
      <c r="F25" s="69">
        <f t="shared" si="1"/>
        <v>35166.560000000005</v>
      </c>
      <c r="G25" s="74">
        <f t="shared" si="2"/>
        <v>1598.4800000000002</v>
      </c>
      <c r="H25" s="73"/>
      <c r="I25" s="72">
        <f t="shared" si="3"/>
        <v>1204.5454545454545</v>
      </c>
      <c r="J25" s="71">
        <v>0.28259871441689621</v>
      </c>
      <c r="K25" s="70">
        <v>717.4012855831038</v>
      </c>
      <c r="L25" s="69">
        <f t="shared" si="4"/>
        <v>36938.879999999997</v>
      </c>
      <c r="M25" s="74">
        <f t="shared" si="5"/>
        <v>1679.04</v>
      </c>
      <c r="O25" s="63">
        <f t="shared" si="6"/>
        <v>1679.04</v>
      </c>
      <c r="P25" s="91">
        <f t="shared" si="7"/>
        <v>36938.879999999997</v>
      </c>
      <c r="Q25" s="63">
        <f t="shared" si="8"/>
        <v>10438.879999999997</v>
      </c>
      <c r="R25" s="63">
        <f t="shared" si="9"/>
        <v>474.49454545454535</v>
      </c>
      <c r="T25" s="76">
        <f t="shared" ca="1" si="10"/>
        <v>1679.04</v>
      </c>
      <c r="U25" s="61">
        <f t="shared" ca="1" si="11"/>
        <v>36938.879999999997</v>
      </c>
    </row>
    <row r="26" spans="1:21">
      <c r="A26" s="73">
        <v>23</v>
      </c>
      <c r="B26" s="72">
        <f t="shared" si="12"/>
        <v>1152.1739130434783</v>
      </c>
      <c r="C26" s="71">
        <v>0.25397630628748769</v>
      </c>
      <c r="D26" s="70">
        <v>746.02369371251234</v>
      </c>
      <c r="E26" s="74">
        <f t="shared" si="0"/>
        <v>26500</v>
      </c>
      <c r="F26" s="69">
        <f t="shared" si="1"/>
        <v>35521.659999999996</v>
      </c>
      <c r="G26" s="74">
        <f t="shared" si="2"/>
        <v>1544.4199999999998</v>
      </c>
      <c r="H26" s="73"/>
      <c r="I26" s="72">
        <f t="shared" si="3"/>
        <v>1152.1739130434783</v>
      </c>
      <c r="J26" s="71">
        <v>0.29084552488068471</v>
      </c>
      <c r="K26" s="70">
        <v>709.15447511931529</v>
      </c>
      <c r="L26" s="69">
        <f t="shared" si="4"/>
        <v>37368.444999999992</v>
      </c>
      <c r="M26" s="74">
        <f t="shared" si="5"/>
        <v>1624.7149999999997</v>
      </c>
      <c r="O26" s="63">
        <f t="shared" si="6"/>
        <v>1624.7149999999997</v>
      </c>
      <c r="P26" s="91">
        <f t="shared" si="7"/>
        <v>37368.444999999992</v>
      </c>
      <c r="Q26" s="63">
        <f t="shared" si="8"/>
        <v>10868.444999999992</v>
      </c>
      <c r="R26" s="63">
        <f t="shared" si="9"/>
        <v>472.54108695652138</v>
      </c>
      <c r="T26" s="76">
        <f t="shared" ca="1" si="10"/>
        <v>1624.7149999999997</v>
      </c>
      <c r="U26" s="61">
        <f t="shared" ca="1" si="11"/>
        <v>37368.444999999992</v>
      </c>
    </row>
    <row r="27" spans="1:21">
      <c r="A27" s="73">
        <v>24</v>
      </c>
      <c r="B27" s="72">
        <f t="shared" si="12"/>
        <v>1104.1666666666667</v>
      </c>
      <c r="C27" s="71">
        <v>0.26136027891035873</v>
      </c>
      <c r="D27" s="70">
        <v>738.63972108964128</v>
      </c>
      <c r="E27" s="74">
        <f t="shared" si="0"/>
        <v>26500</v>
      </c>
      <c r="F27" s="69">
        <f t="shared" si="1"/>
        <v>35876.76</v>
      </c>
      <c r="G27" s="74">
        <f t="shared" si="2"/>
        <v>1494.865</v>
      </c>
      <c r="H27" s="73"/>
      <c r="I27" s="72">
        <f t="shared" si="3"/>
        <v>1104.1666666666667</v>
      </c>
      <c r="J27" s="71">
        <v>0.29889505861237309</v>
      </c>
      <c r="K27" s="70">
        <v>701.10494138762692</v>
      </c>
      <c r="L27" s="69">
        <f t="shared" si="4"/>
        <v>37797.480000000003</v>
      </c>
      <c r="M27" s="74">
        <f t="shared" si="5"/>
        <v>1574.8950000000002</v>
      </c>
      <c r="O27" s="63">
        <f t="shared" si="6"/>
        <v>1574.8950000000002</v>
      </c>
      <c r="P27" s="91">
        <f t="shared" si="7"/>
        <v>37797.480000000003</v>
      </c>
      <c r="Q27" s="63">
        <f t="shared" si="8"/>
        <v>11297.480000000003</v>
      </c>
      <c r="R27" s="63">
        <f t="shared" si="9"/>
        <v>470.72833333333347</v>
      </c>
      <c r="T27" s="76">
        <f t="shared" ca="1" si="10"/>
        <v>1574.8950000000002</v>
      </c>
      <c r="U27" s="61">
        <f t="shared" ca="1" si="11"/>
        <v>37797.480000000003</v>
      </c>
    </row>
    <row r="28" spans="1:21">
      <c r="A28" s="73">
        <v>25</v>
      </c>
      <c r="B28" s="72">
        <f t="shared" si="12"/>
        <v>1060</v>
      </c>
      <c r="C28" s="71">
        <v>0.26860486377765591</v>
      </c>
      <c r="D28" s="70">
        <v>731.39513622234404</v>
      </c>
      <c r="E28" s="74">
        <f t="shared" si="0"/>
        <v>26500</v>
      </c>
      <c r="F28" s="69">
        <f t="shared" si="1"/>
        <v>36232.125</v>
      </c>
      <c r="G28" s="74">
        <f t="shared" si="2"/>
        <v>1449.2850000000001</v>
      </c>
      <c r="H28" s="73"/>
      <c r="I28" s="72">
        <f t="shared" si="3"/>
        <v>1060</v>
      </c>
      <c r="J28" s="71">
        <v>0.30687922370473042</v>
      </c>
      <c r="K28" s="70">
        <v>693.12077629526959</v>
      </c>
      <c r="L28" s="69">
        <f t="shared" si="4"/>
        <v>38232.874999999993</v>
      </c>
      <c r="M28" s="74">
        <f t="shared" si="5"/>
        <v>1529.3149999999996</v>
      </c>
      <c r="O28" s="63">
        <f t="shared" si="6"/>
        <v>1529.3149999999996</v>
      </c>
      <c r="P28" s="91">
        <f t="shared" si="7"/>
        <v>38232.874999999993</v>
      </c>
      <c r="Q28" s="63">
        <f t="shared" si="8"/>
        <v>11732.874999999993</v>
      </c>
      <c r="R28" s="63">
        <f t="shared" si="9"/>
        <v>469.31499999999971</v>
      </c>
      <c r="T28" s="76">
        <f t="shared" ca="1" si="10"/>
        <v>1529.3149999999996</v>
      </c>
      <c r="U28" s="61">
        <f t="shared" ca="1" si="11"/>
        <v>38232.874999999993</v>
      </c>
    </row>
    <row r="29" spans="1:21">
      <c r="A29" s="73">
        <v>26</v>
      </c>
      <c r="B29" s="72">
        <f t="shared" si="12"/>
        <v>1019.2307692307693</v>
      </c>
      <c r="C29" s="71">
        <v>0.27581362339411675</v>
      </c>
      <c r="D29" s="70">
        <v>724.1863766058832</v>
      </c>
      <c r="E29" s="74">
        <f t="shared" si="0"/>
        <v>26500</v>
      </c>
      <c r="F29" s="69">
        <f t="shared" si="1"/>
        <v>36592.790000000008</v>
      </c>
      <c r="G29" s="74">
        <f t="shared" si="2"/>
        <v>1407.4150000000004</v>
      </c>
      <c r="H29" s="73"/>
      <c r="I29" s="72">
        <f t="shared" si="3"/>
        <v>1019.2307692307693</v>
      </c>
      <c r="J29" s="71">
        <v>0.31477750825693107</v>
      </c>
      <c r="K29" s="70">
        <v>685.22249174306899</v>
      </c>
      <c r="L29" s="69">
        <f t="shared" si="4"/>
        <v>38673.57</v>
      </c>
      <c r="M29" s="74">
        <f t="shared" si="5"/>
        <v>1487.4449999999999</v>
      </c>
      <c r="O29" s="63">
        <f t="shared" si="6"/>
        <v>1487.4449999999999</v>
      </c>
      <c r="P29" s="91">
        <f t="shared" si="7"/>
        <v>38673.57</v>
      </c>
      <c r="Q29" s="63">
        <f t="shared" si="8"/>
        <v>12173.57</v>
      </c>
      <c r="R29" s="63">
        <f t="shared" si="9"/>
        <v>468.21423076923077</v>
      </c>
      <c r="T29" s="76">
        <f t="shared" ca="1" si="10"/>
        <v>1487.4449999999999</v>
      </c>
      <c r="U29" s="61">
        <f t="shared" ca="1" si="11"/>
        <v>38673.57</v>
      </c>
    </row>
    <row r="30" spans="1:21">
      <c r="A30" s="73">
        <v>27</v>
      </c>
      <c r="B30" s="72">
        <f t="shared" si="12"/>
        <v>981.48148148148152</v>
      </c>
      <c r="C30" s="71">
        <v>0.28278394583584354</v>
      </c>
      <c r="D30" s="70">
        <v>717.2160541641565</v>
      </c>
      <c r="E30" s="74">
        <f t="shared" si="0"/>
        <v>26500</v>
      </c>
      <c r="F30" s="69">
        <f t="shared" si="1"/>
        <v>36948.42</v>
      </c>
      <c r="G30" s="74">
        <f t="shared" si="2"/>
        <v>1368.46</v>
      </c>
      <c r="H30" s="73"/>
      <c r="I30" s="72">
        <f t="shared" si="3"/>
        <v>981.48148148148152</v>
      </c>
      <c r="J30" s="71">
        <v>0.32253453380213937</v>
      </c>
      <c r="K30" s="70">
        <v>677.46546619786068</v>
      </c>
      <c r="L30" s="69">
        <f t="shared" si="4"/>
        <v>39116.384999999995</v>
      </c>
      <c r="M30" s="74">
        <f t="shared" si="5"/>
        <v>1448.7549999999999</v>
      </c>
      <c r="O30" s="63">
        <f t="shared" si="6"/>
        <v>1448.7549999999999</v>
      </c>
      <c r="P30" s="91">
        <f t="shared" si="7"/>
        <v>39116.384999999995</v>
      </c>
      <c r="Q30" s="63">
        <f t="shared" si="8"/>
        <v>12616.384999999995</v>
      </c>
      <c r="R30" s="63">
        <f t="shared" si="9"/>
        <v>467.2735185185183</v>
      </c>
      <c r="T30" s="76">
        <f t="shared" ca="1" si="10"/>
        <v>1448.7549999999999</v>
      </c>
      <c r="U30" s="61">
        <f t="shared" ca="1" si="11"/>
        <v>39116.384999999995</v>
      </c>
    </row>
    <row r="31" spans="1:21">
      <c r="A31" s="73">
        <v>28</v>
      </c>
      <c r="B31" s="72">
        <f t="shared" si="12"/>
        <v>946.42857142857144</v>
      </c>
      <c r="C31" s="71">
        <v>0.28983325284776862</v>
      </c>
      <c r="D31" s="70">
        <v>710.16674715223144</v>
      </c>
      <c r="E31" s="74">
        <f t="shared" si="0"/>
        <v>26500</v>
      </c>
      <c r="F31" s="69">
        <f t="shared" si="1"/>
        <v>37315.18</v>
      </c>
      <c r="G31" s="74">
        <f t="shared" si="2"/>
        <v>1332.6849999999999</v>
      </c>
      <c r="H31" s="73"/>
      <c r="I31" s="72">
        <f t="shared" si="3"/>
        <v>946.42857142857144</v>
      </c>
      <c r="J31" s="71">
        <v>0.33018969027971268</v>
      </c>
      <c r="K31" s="70">
        <v>669.81030972028736</v>
      </c>
      <c r="L31" s="69">
        <f t="shared" si="4"/>
        <v>39563.439999999995</v>
      </c>
      <c r="M31" s="74">
        <f t="shared" si="5"/>
        <v>1412.9799999999998</v>
      </c>
      <c r="O31" s="63">
        <f t="shared" si="6"/>
        <v>1412.9799999999998</v>
      </c>
      <c r="P31" s="91">
        <f t="shared" si="7"/>
        <v>39563.439999999995</v>
      </c>
      <c r="Q31" s="63">
        <f t="shared" si="8"/>
        <v>13063.439999999995</v>
      </c>
      <c r="R31" s="63">
        <f t="shared" si="9"/>
        <v>466.5514285714284</v>
      </c>
      <c r="T31" s="76">
        <f t="shared" ca="1" si="10"/>
        <v>1412.9799999999998</v>
      </c>
      <c r="U31" s="61">
        <f t="shared" ca="1" si="11"/>
        <v>39563.439999999995</v>
      </c>
    </row>
    <row r="32" spans="1:21">
      <c r="A32" s="73">
        <v>29</v>
      </c>
      <c r="B32" s="72">
        <f t="shared" si="12"/>
        <v>913.79310344827582</v>
      </c>
      <c r="C32" s="71">
        <v>0.2967008235633356</v>
      </c>
      <c r="D32" s="70">
        <v>703.29917643666442</v>
      </c>
      <c r="E32" s="74">
        <f t="shared" si="0"/>
        <v>26500</v>
      </c>
      <c r="F32" s="69">
        <f t="shared" si="1"/>
        <v>37679.555</v>
      </c>
      <c r="G32" s="74">
        <f t="shared" si="2"/>
        <v>1299.2950000000001</v>
      </c>
      <c r="H32" s="73"/>
      <c r="I32" s="72">
        <f t="shared" si="3"/>
        <v>913.79310344827582</v>
      </c>
      <c r="J32" s="71">
        <v>0.33763429464676042</v>
      </c>
      <c r="K32" s="70">
        <v>662.3657053532396</v>
      </c>
      <c r="L32" s="69">
        <f t="shared" si="4"/>
        <v>40008.11</v>
      </c>
      <c r="M32" s="74">
        <f t="shared" si="5"/>
        <v>1379.59</v>
      </c>
      <c r="O32" s="63">
        <f t="shared" si="6"/>
        <v>1379.59</v>
      </c>
      <c r="P32" s="91">
        <f t="shared" si="7"/>
        <v>40008.11</v>
      </c>
      <c r="Q32" s="63">
        <f t="shared" si="8"/>
        <v>13508.11</v>
      </c>
      <c r="R32" s="63">
        <f t="shared" si="9"/>
        <v>465.79689655172416</v>
      </c>
      <c r="T32" s="76">
        <f t="shared" ca="1" si="10"/>
        <v>1379.59</v>
      </c>
      <c r="U32" s="61">
        <f t="shared" ca="1" si="11"/>
        <v>40008.11</v>
      </c>
    </row>
    <row r="33" spans="1:21">
      <c r="A33" s="73">
        <v>30</v>
      </c>
      <c r="B33" s="72">
        <f t="shared" si="12"/>
        <v>883.33333333333337</v>
      </c>
      <c r="C33" s="71">
        <v>0.30337861372344122</v>
      </c>
      <c r="D33" s="70">
        <v>696.62138627655884</v>
      </c>
      <c r="E33" s="74">
        <f t="shared" si="0"/>
        <v>26500</v>
      </c>
      <c r="F33" s="69">
        <f t="shared" si="1"/>
        <v>38040.749999999985</v>
      </c>
      <c r="G33" s="74">
        <f t="shared" si="2"/>
        <v>1268.0249999999994</v>
      </c>
      <c r="H33" s="73"/>
      <c r="I33" s="72">
        <f t="shared" si="3"/>
        <v>883.33333333333337</v>
      </c>
      <c r="J33" s="71">
        <v>0.34499246741337519</v>
      </c>
      <c r="K33" s="70">
        <v>655.00753258662485</v>
      </c>
      <c r="L33" s="69">
        <f t="shared" si="4"/>
        <v>40457.549999999988</v>
      </c>
      <c r="M33" s="74">
        <f t="shared" si="5"/>
        <v>1348.5849999999996</v>
      </c>
      <c r="O33" s="63">
        <f t="shared" si="6"/>
        <v>1348.5849999999996</v>
      </c>
      <c r="P33" s="91">
        <f t="shared" si="7"/>
        <v>40457.549999999988</v>
      </c>
      <c r="Q33" s="63">
        <f t="shared" si="8"/>
        <v>13957.549999999988</v>
      </c>
      <c r="R33" s="63">
        <f t="shared" si="9"/>
        <v>465.25166666666627</v>
      </c>
      <c r="T33" s="76">
        <f t="shared" ca="1" si="10"/>
        <v>1348.5849999999996</v>
      </c>
      <c r="U33" s="61">
        <f t="shared" ca="1" si="11"/>
        <v>40457.549999999988</v>
      </c>
    </row>
    <row r="34" spans="1:21">
      <c r="A34" s="73">
        <v>31</v>
      </c>
      <c r="B34" s="72">
        <f t="shared" si="12"/>
        <v>854.83870967741939</v>
      </c>
      <c r="C34" s="71">
        <v>0.31013548938988378</v>
      </c>
      <c r="D34" s="70">
        <v>689.86451061011621</v>
      </c>
      <c r="E34" s="74">
        <f t="shared" si="0"/>
        <v>26500</v>
      </c>
      <c r="F34" s="69">
        <f t="shared" si="1"/>
        <v>38413.339999999997</v>
      </c>
      <c r="G34" s="74">
        <f t="shared" si="2"/>
        <v>1239.1399999999999</v>
      </c>
      <c r="H34" s="73"/>
      <c r="I34" s="72">
        <f t="shared" si="3"/>
        <v>854.83870967741939</v>
      </c>
      <c r="J34" s="71">
        <v>0.35224770047933662</v>
      </c>
      <c r="K34" s="70">
        <v>647.75229952066343</v>
      </c>
      <c r="L34" s="69">
        <f t="shared" si="4"/>
        <v>40910.69999999999</v>
      </c>
      <c r="M34" s="74">
        <f t="shared" si="5"/>
        <v>1319.6999999999996</v>
      </c>
      <c r="O34" s="63">
        <f t="shared" si="6"/>
        <v>1319.6999999999996</v>
      </c>
      <c r="P34" s="91">
        <f t="shared" si="7"/>
        <v>40910.69999999999</v>
      </c>
      <c r="Q34" s="63">
        <f t="shared" si="8"/>
        <v>14410.69999999999</v>
      </c>
      <c r="R34" s="63">
        <f t="shared" si="9"/>
        <v>464.86129032258032</v>
      </c>
      <c r="T34" s="76">
        <f t="shared" ca="1" si="10"/>
        <v>1319.6999999999996</v>
      </c>
      <c r="U34" s="61">
        <f t="shared" ca="1" si="11"/>
        <v>40910.69999999999</v>
      </c>
    </row>
    <row r="35" spans="1:21">
      <c r="A35" s="73">
        <v>32</v>
      </c>
      <c r="B35" s="72">
        <f t="shared" si="12"/>
        <v>828.125</v>
      </c>
      <c r="C35" s="71">
        <v>0.31679055531263667</v>
      </c>
      <c r="D35" s="70">
        <v>683.20944468736332</v>
      </c>
      <c r="E35" s="74">
        <f t="shared" si="0"/>
        <v>26500</v>
      </c>
      <c r="F35" s="69">
        <f t="shared" si="1"/>
        <v>38787.520000000004</v>
      </c>
      <c r="G35" s="74">
        <f t="shared" si="2"/>
        <v>1212.1100000000001</v>
      </c>
      <c r="H35" s="73"/>
      <c r="I35" s="72">
        <f t="shared" si="3"/>
        <v>828.125</v>
      </c>
      <c r="J35" s="71">
        <v>0.35936859368593677</v>
      </c>
      <c r="K35" s="70">
        <v>640.63140631406327</v>
      </c>
      <c r="L35" s="69">
        <f t="shared" si="4"/>
        <v>41365.439999999995</v>
      </c>
      <c r="M35" s="74">
        <f t="shared" si="5"/>
        <v>1292.6699999999998</v>
      </c>
      <c r="O35" s="63">
        <f t="shared" si="6"/>
        <v>1292.6699999999998</v>
      </c>
      <c r="P35" s="91">
        <f t="shared" si="7"/>
        <v>41365.439999999995</v>
      </c>
      <c r="Q35" s="63">
        <f t="shared" si="8"/>
        <v>14865.439999999995</v>
      </c>
      <c r="R35" s="63">
        <f t="shared" si="9"/>
        <v>464.54499999999985</v>
      </c>
      <c r="T35" s="76">
        <f t="shared" ca="1" si="10"/>
        <v>1292.6699999999998</v>
      </c>
      <c r="U35" s="61">
        <f t="shared" ca="1" si="11"/>
        <v>41365.439999999995</v>
      </c>
    </row>
    <row r="36" spans="1:21">
      <c r="A36" s="73">
        <v>33</v>
      </c>
      <c r="B36" s="72">
        <f t="shared" si="12"/>
        <v>803.030303030303</v>
      </c>
      <c r="C36" s="71">
        <v>0.32329097134813978</v>
      </c>
      <c r="D36" s="70">
        <v>676.70902865186019</v>
      </c>
      <c r="E36" s="74">
        <f t="shared" si="0"/>
        <v>26500</v>
      </c>
      <c r="F36" s="69">
        <f t="shared" si="1"/>
        <v>39160.11</v>
      </c>
      <c r="G36" s="74">
        <f t="shared" si="2"/>
        <v>1186.67</v>
      </c>
      <c r="H36" s="73"/>
      <c r="I36" s="72">
        <f t="shared" si="3"/>
        <v>803.030303030303</v>
      </c>
      <c r="J36" s="71">
        <v>0.36644302105309845</v>
      </c>
      <c r="K36" s="70">
        <v>633.55697894690149</v>
      </c>
      <c r="L36" s="69">
        <f t="shared" si="4"/>
        <v>41827.335000000006</v>
      </c>
      <c r="M36" s="74">
        <f t="shared" si="5"/>
        <v>1267.4950000000001</v>
      </c>
      <c r="O36" s="63">
        <f t="shared" si="6"/>
        <v>1267.4950000000001</v>
      </c>
      <c r="P36" s="91">
        <f t="shared" si="7"/>
        <v>41827.335000000006</v>
      </c>
      <c r="Q36" s="63">
        <f t="shared" si="8"/>
        <v>15327.335000000006</v>
      </c>
      <c r="R36" s="63">
        <f t="shared" si="9"/>
        <v>464.46469696969717</v>
      </c>
      <c r="T36" s="76">
        <f t="shared" ca="1" si="10"/>
        <v>1267.4950000000001</v>
      </c>
      <c r="U36" s="61">
        <f t="shared" ca="1" si="11"/>
        <v>41827.335000000006</v>
      </c>
    </row>
    <row r="37" spans="1:21">
      <c r="A37" s="73">
        <v>34</v>
      </c>
      <c r="B37" s="72">
        <f t="shared" si="12"/>
        <v>779.41176470588232</v>
      </c>
      <c r="C37" s="71">
        <v>0.32972277333905309</v>
      </c>
      <c r="D37" s="70">
        <v>670.27722666094689</v>
      </c>
      <c r="E37" s="74">
        <f t="shared" si="0"/>
        <v>26500</v>
      </c>
      <c r="F37" s="69">
        <f t="shared" si="1"/>
        <v>39535.880000000005</v>
      </c>
      <c r="G37" s="74">
        <f t="shared" si="2"/>
        <v>1162.8200000000002</v>
      </c>
      <c r="H37" s="73"/>
      <c r="I37" s="72">
        <f t="shared" si="3"/>
        <v>779.41176470588232</v>
      </c>
      <c r="J37" s="71">
        <v>0.37328436595179304</v>
      </c>
      <c r="K37" s="70">
        <v>626.71563404820699</v>
      </c>
      <c r="L37" s="69">
        <f t="shared" si="4"/>
        <v>42283.93</v>
      </c>
      <c r="M37" s="74">
        <f t="shared" si="5"/>
        <v>1243.645</v>
      </c>
      <c r="O37" s="63">
        <f t="shared" si="6"/>
        <v>1243.645</v>
      </c>
      <c r="P37" s="91">
        <f t="shared" si="7"/>
        <v>42283.93</v>
      </c>
      <c r="Q37" s="63">
        <f t="shared" si="8"/>
        <v>15783.93</v>
      </c>
      <c r="R37" s="63">
        <f t="shared" si="9"/>
        <v>464.23323529411766</v>
      </c>
      <c r="T37" s="76">
        <f t="shared" ca="1" si="10"/>
        <v>1243.645</v>
      </c>
      <c r="U37" s="61">
        <f t="shared" ca="1" si="11"/>
        <v>42283.93</v>
      </c>
    </row>
    <row r="38" spans="1:21">
      <c r="A38" s="73">
        <v>35</v>
      </c>
      <c r="B38" s="72">
        <f t="shared" si="12"/>
        <v>757.14285714285711</v>
      </c>
      <c r="C38" s="71">
        <v>0.33601142060356559</v>
      </c>
      <c r="D38" s="70">
        <v>663.98857939643437</v>
      </c>
      <c r="E38" s="74">
        <f t="shared" si="0"/>
        <v>26500</v>
      </c>
      <c r="F38" s="69">
        <f t="shared" si="1"/>
        <v>39910.324999999997</v>
      </c>
      <c r="G38" s="74">
        <f t="shared" si="2"/>
        <v>1140.2949999999998</v>
      </c>
      <c r="H38" s="73"/>
      <c r="I38" s="72">
        <f t="shared" si="3"/>
        <v>757.14285714285711</v>
      </c>
      <c r="J38" s="71">
        <v>0.38009484548864025</v>
      </c>
      <c r="K38" s="70">
        <v>619.9051545113598</v>
      </c>
      <c r="L38" s="69">
        <f t="shared" si="4"/>
        <v>42748.474999999999</v>
      </c>
      <c r="M38" s="74">
        <f t="shared" si="5"/>
        <v>1221.385</v>
      </c>
      <c r="O38" s="63">
        <f t="shared" si="6"/>
        <v>1221.385</v>
      </c>
      <c r="P38" s="91">
        <f t="shared" si="7"/>
        <v>42748.474999999999</v>
      </c>
      <c r="Q38" s="63">
        <f t="shared" si="8"/>
        <v>16248.474999999999</v>
      </c>
      <c r="R38" s="63">
        <f t="shared" si="9"/>
        <v>464.24214285714282</v>
      </c>
      <c r="T38" s="76">
        <f t="shared" ca="1" si="10"/>
        <v>1221.385</v>
      </c>
      <c r="U38" s="61">
        <f t="shared" ca="1" si="11"/>
        <v>42748.474999999999</v>
      </c>
    </row>
    <row r="39" spans="1:21">
      <c r="A39" s="73">
        <v>36</v>
      </c>
      <c r="B39" s="72">
        <f t="shared" si="12"/>
        <v>736.11111111111109</v>
      </c>
      <c r="C39" s="71">
        <v>0.34222643197305758</v>
      </c>
      <c r="D39" s="70">
        <v>657.77356802694237</v>
      </c>
      <c r="E39" s="74">
        <f t="shared" si="0"/>
        <v>26500</v>
      </c>
      <c r="F39" s="69">
        <f t="shared" si="1"/>
        <v>40287.420000000006</v>
      </c>
      <c r="G39" s="74">
        <f t="shared" si="2"/>
        <v>1119.0950000000003</v>
      </c>
      <c r="H39" s="73"/>
      <c r="I39" s="72">
        <f t="shared" si="3"/>
        <v>736.11111111111109</v>
      </c>
      <c r="J39" s="71">
        <v>0.38680402256561197</v>
      </c>
      <c r="K39" s="70">
        <v>613.19597743438806</v>
      </c>
      <c r="L39" s="69">
        <f t="shared" si="4"/>
        <v>43216.2</v>
      </c>
      <c r="M39" s="74">
        <f t="shared" si="5"/>
        <v>1200.4499999999998</v>
      </c>
      <c r="O39" s="63">
        <f t="shared" si="6"/>
        <v>1200.4499999999998</v>
      </c>
      <c r="P39" s="91">
        <f t="shared" si="7"/>
        <v>43216.2</v>
      </c>
      <c r="Q39" s="63">
        <f t="shared" si="8"/>
        <v>16716.199999999997</v>
      </c>
      <c r="R39" s="63">
        <f t="shared" si="9"/>
        <v>464.33888888888879</v>
      </c>
      <c r="T39" s="76">
        <f t="shared" ca="1" si="10"/>
        <v>1200.4499999999998</v>
      </c>
      <c r="U39" s="61">
        <f t="shared" ca="1" si="11"/>
        <v>43216.2</v>
      </c>
    </row>
    <row r="40" spans="1:21">
      <c r="A40" s="58"/>
      <c r="B40" s="58"/>
      <c r="C40" s="58"/>
      <c r="D40" s="58"/>
      <c r="E40" s="58"/>
      <c r="F40" s="58"/>
      <c r="G40" s="58"/>
      <c r="H40" s="58"/>
      <c r="I40" s="58"/>
      <c r="J40" s="58"/>
      <c r="K40" s="58"/>
      <c r="L40" s="58"/>
      <c r="M40" s="58"/>
    </row>
  </sheetData>
  <sheetProtection algorithmName="SHA-512" hashValue="r9xHAghpZppHVYjAAFy5pwJKzDoH4k3H9gKDH6agVpfnSJ1UJ7Z/MYm+iSQb63pP1+2dXr5FC6iRRWsvZhvbDw==" saltValue="L4boJvI774ob30nnuV1ySw==" spinCount="100000" sheet="1" objects="1" scenarios="1"/>
  <mergeCells count="4">
    <mergeCell ref="A2:G2"/>
    <mergeCell ref="Q2:R2"/>
    <mergeCell ref="T1:U1"/>
    <mergeCell ref="T2:U2"/>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4">
    <tabColor rgb="FFFF0000"/>
  </sheetPr>
  <dimension ref="B1:K149"/>
  <sheetViews>
    <sheetView showGridLines="0" zoomScale="120" zoomScaleNormal="120" workbookViewId="0">
      <selection activeCell="M6" sqref="M6"/>
    </sheetView>
  </sheetViews>
  <sheetFormatPr defaultColWidth="9.1796875" defaultRowHeight="12.5"/>
  <cols>
    <col min="1" max="1" width="0.54296875" style="120" customWidth="1"/>
    <col min="2" max="2" width="17.26953125" style="120" customWidth="1"/>
    <col min="3" max="3" width="9.1796875" style="120"/>
    <col min="4" max="4" width="10.7265625" style="120" bestFit="1" customWidth="1"/>
    <col min="5" max="5" width="9.1796875" style="120"/>
    <col min="6" max="6" width="9.54296875" style="120" customWidth="1"/>
    <col min="7" max="7" width="10.54296875" style="120" customWidth="1"/>
    <col min="8" max="8" width="9.1796875" style="120"/>
    <col min="9" max="9" width="9.81640625" style="120" customWidth="1"/>
    <col min="10" max="10" width="11.453125" style="120" customWidth="1"/>
    <col min="11" max="11" width="0.81640625" style="120" customWidth="1"/>
    <col min="12" max="16384" width="9.1796875" style="120"/>
  </cols>
  <sheetData>
    <row r="1" spans="2:11" ht="6.75" customHeight="1" thickBot="1"/>
    <row r="2" spans="2:11" s="3" customFormat="1" ht="13" thickBot="1">
      <c r="B2" s="1518" t="str">
        <f>'1FComprador'!E3</f>
        <v>Razão Social da Loja</v>
      </c>
      <c r="C2" s="1519"/>
      <c r="D2" s="1519"/>
      <c r="E2" s="1520"/>
      <c r="F2" s="1518" t="str">
        <f>'1FComprador'!E4</f>
        <v>Nome Fantasia Loja</v>
      </c>
      <c r="G2" s="1519"/>
      <c r="H2" s="1519"/>
      <c r="I2" s="1519"/>
      <c r="J2" s="1520"/>
    </row>
    <row r="3" spans="2:11" s="119" customFormat="1" ht="8.25" customHeight="1">
      <c r="B3" s="121"/>
      <c r="I3" s="122"/>
      <c r="J3" s="123"/>
      <c r="K3" s="124"/>
    </row>
    <row r="4" spans="2:11" s="119" customFormat="1" ht="25.5" customHeight="1">
      <c r="B4" s="1462" t="s">
        <v>181</v>
      </c>
      <c r="C4" s="1463"/>
      <c r="D4" s="1463"/>
      <c r="E4" s="1463"/>
      <c r="F4" s="1463"/>
      <c r="G4" s="1464" t="s">
        <v>182</v>
      </c>
      <c r="H4" s="1464"/>
      <c r="I4" s="1465">
        <f ca="1">'1FComprador'!K7</f>
        <v>46153</v>
      </c>
      <c r="J4" s="1466"/>
    </row>
    <row r="5" spans="2:11" s="119" customFormat="1" ht="21.65" customHeight="1">
      <c r="B5" s="13" t="s">
        <v>183</v>
      </c>
      <c r="C5" s="1467" t="str">
        <f>IF('1FComprador'!D12&lt;&gt;"",'1FComprador'!D12,"")</f>
        <v/>
      </c>
      <c r="D5" s="1468"/>
      <c r="E5" s="1468"/>
      <c r="F5" s="1468"/>
      <c r="G5" s="1468"/>
      <c r="H5" s="1468"/>
      <c r="I5" s="1468"/>
      <c r="J5" s="1469"/>
    </row>
    <row r="6" spans="2:11" s="119" customFormat="1" ht="22.5" customHeight="1">
      <c r="B6" s="14" t="s">
        <v>184</v>
      </c>
      <c r="C6" s="1467" t="str">
        <f>IF('1FComprador'!D16&lt;&gt;"",'1FComprador'!D16,"")</f>
        <v xml:space="preserve"> </v>
      </c>
      <c r="D6" s="1468"/>
      <c r="E6" s="1468"/>
      <c r="F6" s="1468"/>
      <c r="G6" s="1468"/>
      <c r="H6" s="1468"/>
      <c r="I6" s="1468"/>
      <c r="J6" s="1469"/>
    </row>
    <row r="7" spans="2:11" s="119" customFormat="1" ht="20.25" customHeight="1">
      <c r="B7" s="14" t="s">
        <v>185</v>
      </c>
      <c r="C7" s="1472" t="str">
        <f>IF('1FComprador'!D20&lt;&gt;"",'1FComprador'!D20,"")</f>
        <v xml:space="preserve"> </v>
      </c>
      <c r="D7" s="1473"/>
      <c r="E7" s="1474"/>
      <c r="F7" s="1472" t="str">
        <f>IF('1FComprador'!E20&lt;&gt;"",'1FComprador'!E20,"")</f>
        <v xml:space="preserve"> </v>
      </c>
      <c r="G7" s="1473"/>
      <c r="H7" s="1474"/>
      <c r="I7" s="1475"/>
      <c r="J7" s="1476"/>
    </row>
    <row r="8" spans="2:11" s="119" customFormat="1" ht="20.25" customHeight="1">
      <c r="B8" s="14" t="s">
        <v>186</v>
      </c>
      <c r="C8" s="1480" t="str">
        <f>IF('1FComprador'!H20&lt;&gt;"",'1FComprador'!H20,"")</f>
        <v xml:space="preserve"> </v>
      </c>
      <c r="D8" s="1481"/>
      <c r="E8" s="1481"/>
      <c r="F8" s="1481"/>
      <c r="G8" s="1481"/>
      <c r="H8" s="1481"/>
      <c r="I8" s="1481"/>
      <c r="J8" s="1482"/>
    </row>
    <row r="9" spans="2:11" s="119" customFormat="1" ht="20.25" customHeight="1">
      <c r="B9" s="1470" t="s">
        <v>187</v>
      </c>
      <c r="C9" s="1471"/>
      <c r="D9" s="1477"/>
      <c r="E9" s="1478"/>
      <c r="F9" s="1478"/>
      <c r="G9" s="1478"/>
      <c r="H9" s="1478"/>
      <c r="I9" s="1478"/>
      <c r="J9" s="1479"/>
    </row>
    <row r="10" spans="2:11" s="119" customFormat="1" ht="20.25" customHeight="1">
      <c r="B10" s="1456"/>
      <c r="C10" s="1457"/>
      <c r="D10" s="1457"/>
      <c r="E10" s="1457"/>
      <c r="F10" s="1457"/>
      <c r="G10" s="1457"/>
      <c r="H10" s="1457"/>
      <c r="I10" s="1457"/>
      <c r="J10" s="1458"/>
    </row>
    <row r="11" spans="2:11" s="119" customFormat="1" ht="20.25" customHeight="1">
      <c r="B11" s="1504"/>
      <c r="C11" s="1505"/>
      <c r="D11" s="1505"/>
      <c r="E11" s="1506"/>
      <c r="F11" s="1515" t="s">
        <v>188</v>
      </c>
      <c r="G11" s="1483"/>
      <c r="H11" s="1471"/>
      <c r="I11" s="1529"/>
      <c r="J11" s="1530"/>
    </row>
    <row r="12" spans="2:11" s="119" customFormat="1" ht="13.5" customHeight="1">
      <c r="B12" s="1509" t="s">
        <v>189</v>
      </c>
      <c r="C12" s="1510"/>
      <c r="D12" s="1510"/>
      <c r="E12" s="1510"/>
      <c r="F12" s="1510"/>
      <c r="G12" s="1510"/>
      <c r="H12" s="1510"/>
      <c r="I12" s="1510"/>
      <c r="J12" s="1511"/>
    </row>
    <row r="13" spans="2:11" s="119" customFormat="1" ht="15" customHeight="1">
      <c r="B13" s="1456"/>
      <c r="C13" s="1457"/>
      <c r="D13" s="1457"/>
      <c r="E13" s="1457"/>
      <c r="F13" s="1457"/>
      <c r="G13" s="1457"/>
      <c r="H13" s="1457"/>
      <c r="I13" s="1457"/>
      <c r="J13" s="1458"/>
    </row>
    <row r="14" spans="2:11" s="119" customFormat="1" ht="13.5" customHeight="1">
      <c r="B14" s="1456"/>
      <c r="C14" s="1457"/>
      <c r="D14" s="1457"/>
      <c r="E14" s="1457"/>
      <c r="F14" s="1457"/>
      <c r="G14" s="1457"/>
      <c r="H14" s="1457"/>
      <c r="I14" s="1457"/>
      <c r="J14" s="1458"/>
    </row>
    <row r="15" spans="2:11" s="119" customFormat="1" ht="6.75" customHeight="1">
      <c r="B15" s="125"/>
      <c r="J15" s="126"/>
    </row>
    <row r="16" spans="2:11" s="119" customFormat="1" ht="13">
      <c r="B16" s="1516" t="s">
        <v>190</v>
      </c>
      <c r="C16" s="1517"/>
      <c r="E16" s="1507" t="s">
        <v>191</v>
      </c>
      <c r="F16" s="1508"/>
      <c r="H16" s="1507" t="s">
        <v>192</v>
      </c>
      <c r="I16" s="1508"/>
      <c r="J16" s="126"/>
    </row>
    <row r="17" spans="2:10" s="119" customFormat="1" ht="14.5">
      <c r="B17" s="1525"/>
      <c r="C17" s="1526"/>
      <c r="E17" s="1514"/>
      <c r="F17" s="1514"/>
      <c r="H17" s="1514"/>
      <c r="I17" s="1514"/>
      <c r="J17" s="126"/>
    </row>
    <row r="18" spans="2:10" s="119" customFormat="1">
      <c r="B18" s="121"/>
      <c r="J18" s="126"/>
    </row>
    <row r="19" spans="2:10" s="119" customFormat="1" ht="13">
      <c r="B19" s="1484" t="s">
        <v>193</v>
      </c>
      <c r="C19" s="1485"/>
      <c r="J19" s="126"/>
    </row>
    <row r="20" spans="2:10" s="119" customFormat="1">
      <c r="B20" s="1494" t="s">
        <v>194</v>
      </c>
      <c r="C20" s="1495"/>
      <c r="D20" s="127"/>
      <c r="F20" s="1512" t="s">
        <v>195</v>
      </c>
      <c r="G20" s="1450"/>
      <c r="H20" s="1513"/>
      <c r="I20" s="1506"/>
      <c r="J20" s="126"/>
    </row>
    <row r="21" spans="2:10" s="119" customFormat="1">
      <c r="B21" s="1494" t="s">
        <v>196</v>
      </c>
      <c r="C21" s="1495"/>
      <c r="D21" s="127"/>
      <c r="E21" s="2"/>
      <c r="F21" s="1512" t="s">
        <v>197</v>
      </c>
      <c r="G21" s="1450"/>
      <c r="H21" s="1513"/>
      <c r="I21" s="1506"/>
      <c r="J21" s="126"/>
    </row>
    <row r="22" spans="2:10" s="119" customFormat="1">
      <c r="B22" s="1494" t="s">
        <v>198</v>
      </c>
      <c r="C22" s="1495"/>
      <c r="D22" s="127"/>
      <c r="J22" s="126"/>
    </row>
    <row r="23" spans="2:10" s="119" customFormat="1">
      <c r="B23" s="121"/>
      <c r="J23" s="126"/>
    </row>
    <row r="24" spans="2:10" s="119" customFormat="1" ht="15.5">
      <c r="B24" s="1491" t="s">
        <v>199</v>
      </c>
      <c r="C24" s="1492"/>
      <c r="D24" s="1492"/>
      <c r="E24" s="1492"/>
      <c r="F24" s="1492"/>
      <c r="G24" s="1492"/>
      <c r="H24" s="1492"/>
      <c r="I24" s="1492"/>
      <c r="J24" s="1493"/>
    </row>
    <row r="25" spans="2:10" s="119" customFormat="1">
      <c r="B25" s="1456"/>
      <c r="C25" s="1457"/>
      <c r="D25" s="1457"/>
      <c r="E25" s="1457"/>
      <c r="F25" s="1457"/>
      <c r="G25" s="1457"/>
      <c r="H25" s="1457"/>
      <c r="I25" s="1457"/>
      <c r="J25" s="1458"/>
    </row>
    <row r="26" spans="2:10" s="119" customFormat="1">
      <c r="B26" s="1488"/>
      <c r="C26" s="1489"/>
      <c r="D26" s="1489"/>
      <c r="E26" s="1489"/>
      <c r="F26" s="1489"/>
      <c r="G26" s="1489"/>
      <c r="H26" s="1489"/>
      <c r="I26" s="1489"/>
      <c r="J26" s="1490"/>
    </row>
    <row r="27" spans="2:10" s="119" customFormat="1">
      <c r="B27" s="1488"/>
      <c r="C27" s="1489"/>
      <c r="D27" s="1489"/>
      <c r="E27" s="1489"/>
      <c r="F27" s="1489"/>
      <c r="G27" s="1489"/>
      <c r="H27" s="1489"/>
      <c r="I27" s="1489"/>
      <c r="J27" s="1490"/>
    </row>
    <row r="28" spans="2:10" s="119" customFormat="1">
      <c r="B28" s="1488"/>
      <c r="C28" s="1489"/>
      <c r="D28" s="1489"/>
      <c r="E28" s="1489"/>
      <c r="F28" s="1489"/>
      <c r="G28" s="1489"/>
      <c r="H28" s="1489"/>
      <c r="I28" s="1489"/>
      <c r="J28" s="1490"/>
    </row>
    <row r="29" spans="2:10" s="119" customFormat="1" ht="15" customHeight="1">
      <c r="B29" s="1522" t="s">
        <v>200</v>
      </c>
      <c r="C29" s="1523"/>
      <c r="D29" s="1523"/>
      <c r="E29" s="1523"/>
      <c r="F29" s="1523"/>
      <c r="G29" s="1523"/>
      <c r="H29" s="1523"/>
      <c r="I29" s="1523"/>
      <c r="J29" s="1524"/>
    </row>
    <row r="30" spans="2:10" s="119" customFormat="1">
      <c r="B30" s="1487" t="s">
        <v>201</v>
      </c>
      <c r="C30" s="1457"/>
      <c r="D30" s="1457"/>
      <c r="E30" s="1457"/>
      <c r="F30" s="1457"/>
      <c r="G30" s="1457"/>
      <c r="H30" s="1457"/>
      <c r="I30" s="1457"/>
      <c r="J30" s="1458"/>
    </row>
    <row r="31" spans="2:10" s="119" customFormat="1">
      <c r="B31" s="1487" t="s">
        <v>202</v>
      </c>
      <c r="C31" s="1457"/>
      <c r="D31" s="1457"/>
      <c r="E31" s="1457"/>
      <c r="F31" s="1457"/>
      <c r="G31" s="1457"/>
      <c r="H31" s="1457"/>
      <c r="I31" s="1457"/>
      <c r="J31" s="1458"/>
    </row>
    <row r="32" spans="2:10" s="119" customFormat="1">
      <c r="B32" s="1487" t="s">
        <v>203</v>
      </c>
      <c r="C32" s="1499"/>
      <c r="D32" s="1499"/>
      <c r="E32" s="1499"/>
      <c r="F32" s="1499"/>
      <c r="G32" s="1499"/>
      <c r="H32" s="1499"/>
      <c r="I32" s="1499"/>
      <c r="J32" s="1500"/>
    </row>
    <row r="33" spans="2:10" s="119" customFormat="1">
      <c r="B33" s="128"/>
      <c r="C33" s="129"/>
      <c r="D33" s="129"/>
      <c r="E33" s="129"/>
      <c r="F33" s="129"/>
      <c r="G33" s="129"/>
      <c r="H33" s="129"/>
      <c r="I33" s="129"/>
      <c r="J33" s="130"/>
    </row>
    <row r="34" spans="2:10" s="119" customFormat="1" ht="14.5">
      <c r="B34" s="1470" t="s">
        <v>204</v>
      </c>
      <c r="C34" s="1483"/>
      <c r="D34" s="1483"/>
      <c r="E34" s="1471"/>
      <c r="F34" s="1527"/>
      <c r="G34" s="1527"/>
      <c r="H34" s="1527"/>
      <c r="I34" s="1527"/>
      <c r="J34" s="1528"/>
    </row>
    <row r="35" spans="2:10" s="119" customFormat="1" ht="14.5">
      <c r="B35" s="15"/>
      <c r="C35" s="686"/>
      <c r="D35" s="686"/>
      <c r="E35" s="686"/>
      <c r="F35" s="668"/>
      <c r="G35" s="668"/>
      <c r="H35" s="668"/>
      <c r="I35" s="668"/>
      <c r="J35" s="669"/>
    </row>
    <row r="36" spans="2:10" s="119" customFormat="1" ht="14.5">
      <c r="B36" s="1470" t="s">
        <v>205</v>
      </c>
      <c r="C36" s="1483"/>
      <c r="D36" s="1471"/>
      <c r="E36" s="360" t="s">
        <v>206</v>
      </c>
      <c r="F36" s="689"/>
      <c r="G36" s="4" t="s">
        <v>207</v>
      </c>
      <c r="H36" s="670"/>
      <c r="I36" s="4" t="s">
        <v>208</v>
      </c>
      <c r="J36" s="16"/>
    </row>
    <row r="37" spans="2:10" s="119" customFormat="1" ht="14.5">
      <c r="B37" s="1501" t="s">
        <v>209</v>
      </c>
      <c r="C37" s="1502"/>
      <c r="D37" s="1502"/>
      <c r="E37" s="1502"/>
      <c r="F37" s="1502"/>
      <c r="G37" s="1502"/>
      <c r="H37" s="1502"/>
      <c r="I37" s="1502"/>
      <c r="J37" s="1503"/>
    </row>
    <row r="38" spans="2:10" s="119" customFormat="1" ht="17.149999999999999" customHeight="1">
      <c r="B38" s="17" t="s">
        <v>210</v>
      </c>
      <c r="C38" s="1447"/>
      <c r="D38" s="1486"/>
      <c r="E38" s="1486"/>
      <c r="F38" s="1448"/>
      <c r="G38" s="730" t="s">
        <v>211</v>
      </c>
      <c r="H38" s="1496"/>
      <c r="I38" s="1497"/>
      <c r="J38" s="1498"/>
    </row>
    <row r="39" spans="2:10" s="119" customFormat="1" ht="16.5" customHeight="1">
      <c r="B39" s="1509" t="s">
        <v>212</v>
      </c>
      <c r="C39" s="1510"/>
      <c r="D39" s="1510"/>
      <c r="E39" s="1510"/>
      <c r="F39" s="1510"/>
      <c r="G39" s="1510"/>
      <c r="H39" s="1510"/>
      <c r="I39" s="1510"/>
      <c r="J39" s="1511"/>
    </row>
    <row r="40" spans="2:10" s="119" customFormat="1" ht="18.75" customHeight="1">
      <c r="B40" s="908" t="s">
        <v>901</v>
      </c>
      <c r="C40" s="12" t="s">
        <v>213</v>
      </c>
      <c r="D40" s="11"/>
      <c r="E40" s="10" t="s">
        <v>214</v>
      </c>
      <c r="F40" s="50"/>
      <c r="G40" s="51" t="s">
        <v>215</v>
      </c>
      <c r="H40" s="889"/>
      <c r="I40" s="4" t="s">
        <v>216</v>
      </c>
      <c r="J40" s="18"/>
    </row>
    <row r="41" spans="2:10" s="119" customFormat="1" ht="11.25" customHeight="1">
      <c r="B41" s="685"/>
      <c r="C41" s="686"/>
      <c r="D41" s="686"/>
      <c r="E41" s="19"/>
      <c r="F41" s="19"/>
      <c r="G41" s="686"/>
      <c r="H41" s="19"/>
      <c r="I41" s="686"/>
      <c r="J41" s="20"/>
    </row>
    <row r="42" spans="2:10" s="119" customFormat="1" ht="17.25" customHeight="1">
      <c r="B42" s="131" t="s">
        <v>217</v>
      </c>
      <c r="C42" s="1447"/>
      <c r="D42" s="1448"/>
      <c r="E42" s="2"/>
      <c r="F42" s="1449" t="s">
        <v>218</v>
      </c>
      <c r="G42" s="1450"/>
      <c r="H42" s="1447"/>
      <c r="I42" s="1448"/>
      <c r="J42" s="20"/>
    </row>
    <row r="43" spans="2:10" s="119" customFormat="1">
      <c r="B43" s="685"/>
      <c r="C43" s="686"/>
      <c r="D43" s="686"/>
      <c r="E43" s="19"/>
      <c r="F43" s="19"/>
      <c r="G43" s="686"/>
      <c r="H43" s="19"/>
      <c r="I43" s="686"/>
      <c r="J43" s="20"/>
    </row>
    <row r="44" spans="2:10" s="119" customFormat="1" ht="16.5" customHeight="1">
      <c r="B44" s="131"/>
      <c r="C44" s="1447"/>
      <c r="D44" s="1448"/>
      <c r="F44" s="1449" t="s">
        <v>219</v>
      </c>
      <c r="G44" s="1450"/>
      <c r="H44" s="1447"/>
      <c r="I44" s="1448"/>
      <c r="J44" s="126"/>
    </row>
    <row r="45" spans="2:10" s="119" customFormat="1">
      <c r="B45" s="121"/>
      <c r="E45" s="19"/>
      <c r="F45" s="19"/>
      <c r="G45" s="686"/>
      <c r="J45" s="126"/>
    </row>
    <row r="46" spans="2:10" s="119" customFormat="1" ht="16.5" customHeight="1">
      <c r="B46" s="17" t="s">
        <v>220</v>
      </c>
      <c r="C46" s="132"/>
      <c r="D46" s="133"/>
      <c r="E46" s="133"/>
      <c r="F46" s="1449"/>
      <c r="G46" s="1450"/>
      <c r="H46" s="1447"/>
      <c r="I46" s="1448"/>
      <c r="J46" s="134"/>
    </row>
    <row r="47" spans="2:10" s="119" customFormat="1" ht="13.5" customHeight="1">
      <c r="B47" s="1456" t="s">
        <v>201</v>
      </c>
      <c r="C47" s="1457"/>
      <c r="D47" s="1457"/>
      <c r="E47" s="1457"/>
      <c r="F47" s="1457"/>
      <c r="G47" s="1457"/>
      <c r="H47" s="1457"/>
      <c r="I47" s="1457"/>
      <c r="J47" s="1458"/>
    </row>
    <row r="48" spans="2:10" s="119" customFormat="1">
      <c r="B48" s="1456"/>
      <c r="C48" s="1457"/>
      <c r="D48" s="1457"/>
      <c r="E48" s="1457"/>
      <c r="F48" s="1457"/>
      <c r="G48" s="1457"/>
      <c r="H48" s="1457"/>
      <c r="I48" s="1457"/>
      <c r="J48" s="1458"/>
    </row>
    <row r="49" spans="2:10" s="119" customFormat="1">
      <c r="B49" s="682"/>
      <c r="C49" s="683"/>
      <c r="D49" s="683"/>
      <c r="E49" s="683"/>
      <c r="F49" s="683"/>
      <c r="G49" s="683"/>
      <c r="H49" s="683"/>
      <c r="I49" s="683"/>
      <c r="J49" s="684"/>
    </row>
    <row r="50" spans="2:10" s="119" customFormat="1">
      <c r="B50" s="687"/>
      <c r="C50" s="688"/>
      <c r="D50" s="688"/>
      <c r="E50" s="688"/>
      <c r="F50" s="688"/>
      <c r="G50" s="688"/>
      <c r="H50" s="688"/>
      <c r="I50" s="688"/>
      <c r="J50" s="690"/>
    </row>
    <row r="51" spans="2:10" s="119" customFormat="1">
      <c r="B51" s="682"/>
      <c r="C51" s="683"/>
      <c r="D51" s="683"/>
      <c r="E51" s="683"/>
      <c r="F51" s="683"/>
      <c r="G51" s="683"/>
      <c r="H51" s="683"/>
      <c r="I51" s="683"/>
      <c r="J51" s="684"/>
    </row>
    <row r="52" spans="2:10" s="119" customFormat="1">
      <c r="B52" s="687"/>
      <c r="C52" s="688"/>
      <c r="D52" s="688"/>
      <c r="E52" s="688"/>
      <c r="F52" s="688"/>
      <c r="G52" s="688"/>
      <c r="H52" s="688"/>
      <c r="I52" s="688"/>
      <c r="J52" s="690"/>
    </row>
    <row r="53" spans="2:10" s="119" customFormat="1">
      <c r="B53" s="1460"/>
      <c r="C53" s="1461"/>
      <c r="J53" s="126"/>
    </row>
    <row r="54" spans="2:10" s="119" customFormat="1">
      <c r="B54" s="1521"/>
      <c r="C54" s="1454"/>
      <c r="D54" s="1454"/>
      <c r="E54" s="1454"/>
      <c r="G54" s="1454"/>
      <c r="H54" s="1454"/>
      <c r="I54" s="1454"/>
      <c r="J54" s="1455"/>
    </row>
    <row r="55" spans="2:10" s="119" customFormat="1" ht="14.5">
      <c r="B55" s="731" t="str">
        <f>'1FComprador'!B63:C63</f>
        <v>Contratada :</v>
      </c>
      <c r="C55" s="1459" t="str">
        <f>'1FComprador'!D63</f>
        <v>Razão Social da Loja</v>
      </c>
      <c r="D55" s="1459"/>
      <c r="E55" s="1459"/>
      <c r="G55" s="732" t="str">
        <f>'1FComprador'!H63</f>
        <v>Contratante:</v>
      </c>
      <c r="H55" s="1452" t="str">
        <f>IF('1FComprador'!D12&lt;&gt;"",'1FComprador'!D12,"")</f>
        <v/>
      </c>
      <c r="I55" s="1452"/>
      <c r="J55" s="1453"/>
    </row>
    <row r="56" spans="2:10" s="119" customFormat="1" ht="7.5" customHeight="1" thickBot="1">
      <c r="B56" s="671"/>
      <c r="C56" s="672"/>
      <c r="D56" s="672"/>
      <c r="E56" s="672"/>
      <c r="F56" s="672"/>
      <c r="G56" s="672"/>
      <c r="H56" s="672"/>
      <c r="I56" s="672"/>
      <c r="J56" s="722"/>
    </row>
    <row r="57" spans="2:10" s="135" customFormat="1" ht="12.75" customHeight="1">
      <c r="B57" s="135" t="s">
        <v>221</v>
      </c>
      <c r="E57" s="136" t="s">
        <v>121</v>
      </c>
      <c r="F57" s="1451" t="str">
        <f>'0F Lj'!D80</f>
        <v xml:space="preserve"> Sistema ByDesigner Desenvolvido Neri (21) 97014-2420</v>
      </c>
      <c r="G57" s="1451"/>
      <c r="H57" s="1451"/>
      <c r="I57" s="1451"/>
      <c r="J57" s="1451"/>
    </row>
    <row r="58" spans="2:10" s="119" customFormat="1"/>
    <row r="59" spans="2:10" s="119" customFormat="1">
      <c r="F59" s="137"/>
    </row>
    <row r="60" spans="2:10" s="119" customFormat="1">
      <c r="B60" s="137"/>
    </row>
    <row r="61" spans="2:10" s="119" customFormat="1"/>
    <row r="62" spans="2:10" s="119" customFormat="1"/>
    <row r="63" spans="2:10" s="119" customFormat="1"/>
    <row r="64" spans="2:10" s="119" customFormat="1"/>
    <row r="65" s="119" customFormat="1"/>
    <row r="66" s="119" customFormat="1"/>
    <row r="67" s="119" customFormat="1"/>
    <row r="68" s="119" customFormat="1"/>
    <row r="69" s="119" customFormat="1"/>
    <row r="70" s="119" customFormat="1"/>
    <row r="71" s="119" customFormat="1"/>
    <row r="72" s="119" customFormat="1"/>
    <row r="73" s="119" customFormat="1"/>
    <row r="74" s="119" customFormat="1"/>
    <row r="75" s="119" customFormat="1"/>
    <row r="76" s="119" customFormat="1"/>
    <row r="77" s="119" customFormat="1"/>
    <row r="78" s="119" customFormat="1"/>
    <row r="79" s="119" customFormat="1"/>
    <row r="80" s="119" customFormat="1"/>
    <row r="81" s="119" customFormat="1"/>
    <row r="82" s="119" customFormat="1"/>
    <row r="83" s="119" customFormat="1"/>
    <row r="84" s="119" customFormat="1"/>
    <row r="85" s="119" customFormat="1"/>
    <row r="86" s="119" customFormat="1"/>
    <row r="87" s="119" customFormat="1"/>
    <row r="88" s="119" customFormat="1"/>
    <row r="89" s="119" customFormat="1"/>
    <row r="90" s="119" customFormat="1"/>
    <row r="91" s="119" customFormat="1"/>
    <row r="92" s="119" customFormat="1"/>
    <row r="93" s="119" customFormat="1"/>
    <row r="94" s="119" customFormat="1"/>
    <row r="95" s="119" customFormat="1"/>
    <row r="96" s="119" customFormat="1"/>
    <row r="97" s="119" customFormat="1"/>
    <row r="98" s="119" customFormat="1"/>
    <row r="99" s="119" customFormat="1"/>
    <row r="100" s="119" customFormat="1"/>
    <row r="101" s="119" customFormat="1"/>
    <row r="102" s="119" customFormat="1"/>
    <row r="103" s="119" customFormat="1"/>
    <row r="104" s="119" customFormat="1"/>
    <row r="105" s="119" customFormat="1"/>
    <row r="106" s="119" customFormat="1"/>
    <row r="107" s="119" customFormat="1"/>
    <row r="108" s="119" customFormat="1"/>
    <row r="109" s="119" customFormat="1"/>
    <row r="110" s="119" customFormat="1"/>
    <row r="111" s="119" customFormat="1"/>
    <row r="112" s="119" customFormat="1"/>
    <row r="113" s="119" customFormat="1"/>
    <row r="114" s="119" customFormat="1"/>
    <row r="115" s="119" customFormat="1"/>
    <row r="116" s="119" customFormat="1"/>
    <row r="117" s="119" customFormat="1"/>
    <row r="118" s="119" customFormat="1"/>
    <row r="119" s="119" customFormat="1"/>
    <row r="120" s="119" customFormat="1"/>
    <row r="121" s="119" customFormat="1"/>
    <row r="122" s="119" customFormat="1"/>
    <row r="123" s="119" customFormat="1"/>
    <row r="124" s="119" customFormat="1"/>
    <row r="125" s="119" customFormat="1"/>
    <row r="126" s="119" customFormat="1"/>
    <row r="127" s="119" customFormat="1"/>
    <row r="128" s="119" customFormat="1"/>
    <row r="129" s="119" customFormat="1"/>
    <row r="130" s="119" customFormat="1"/>
    <row r="131" s="119" customFormat="1"/>
    <row r="132" s="119" customFormat="1"/>
    <row r="133" s="119" customFormat="1"/>
    <row r="134" s="119" customFormat="1"/>
    <row r="135" s="119" customFormat="1"/>
    <row r="136" s="119" customFormat="1"/>
    <row r="137" s="119" customFormat="1"/>
    <row r="138" s="119" customFormat="1"/>
    <row r="139" s="119" customFormat="1"/>
    <row r="140" s="119" customFormat="1"/>
    <row r="141" s="119" customFormat="1"/>
    <row r="142" s="119" customFormat="1"/>
    <row r="143" s="119" customFormat="1"/>
    <row r="144" s="119" customFormat="1"/>
    <row r="145" s="119" customFormat="1"/>
    <row r="146" s="119" customFormat="1"/>
    <row r="147" s="119" customFormat="1"/>
    <row r="148" s="119" customFormat="1"/>
    <row r="149" s="119" customFormat="1"/>
  </sheetData>
  <sheetProtection algorithmName="SHA-512" hashValue="SNHq76XslTjTRCDmoCt5u+3DVzzYyyOcJTSiVPpwt0Y4GfrZd/7+D0oo678PZTeQcK8/3qh9+ENhpIaPYDYslw==" saltValue="C2HGV5ub/EOAM/wdWhiEZw==" spinCount="100000" sheet="1" objects="1" scenarios="1"/>
  <mergeCells count="66">
    <mergeCell ref="B2:E2"/>
    <mergeCell ref="F2:J2"/>
    <mergeCell ref="B54:E54"/>
    <mergeCell ref="B28:J28"/>
    <mergeCell ref="B29:J29"/>
    <mergeCell ref="B17:C17"/>
    <mergeCell ref="B21:C21"/>
    <mergeCell ref="B22:C22"/>
    <mergeCell ref="H20:I20"/>
    <mergeCell ref="B13:J13"/>
    <mergeCell ref="B14:J14"/>
    <mergeCell ref="B31:J31"/>
    <mergeCell ref="F34:J34"/>
    <mergeCell ref="B39:J39"/>
    <mergeCell ref="B10:J10"/>
    <mergeCell ref="I11:J11"/>
    <mergeCell ref="B11:E11"/>
    <mergeCell ref="H16:I16"/>
    <mergeCell ref="B12:J12"/>
    <mergeCell ref="B26:J26"/>
    <mergeCell ref="F21:G21"/>
    <mergeCell ref="H21:I21"/>
    <mergeCell ref="E17:F17"/>
    <mergeCell ref="H17:I17"/>
    <mergeCell ref="F11:H11"/>
    <mergeCell ref="B25:J25"/>
    <mergeCell ref="B16:C16"/>
    <mergeCell ref="E16:F16"/>
    <mergeCell ref="F20:G20"/>
    <mergeCell ref="B34:E34"/>
    <mergeCell ref="B36:D36"/>
    <mergeCell ref="B19:C19"/>
    <mergeCell ref="C38:F38"/>
    <mergeCell ref="B30:J30"/>
    <mergeCell ref="B27:J27"/>
    <mergeCell ref="B24:J24"/>
    <mergeCell ref="B20:C20"/>
    <mergeCell ref="H38:J38"/>
    <mergeCell ref="B32:J32"/>
    <mergeCell ref="B37:J37"/>
    <mergeCell ref="B4:F4"/>
    <mergeCell ref="G4:H4"/>
    <mergeCell ref="I4:J4"/>
    <mergeCell ref="C6:J6"/>
    <mergeCell ref="B9:C9"/>
    <mergeCell ref="F7:H7"/>
    <mergeCell ref="I7:J7"/>
    <mergeCell ref="C5:J5"/>
    <mergeCell ref="C7:E7"/>
    <mergeCell ref="D9:J9"/>
    <mergeCell ref="C8:J8"/>
    <mergeCell ref="F57:J57"/>
    <mergeCell ref="F46:G46"/>
    <mergeCell ref="H46:I46"/>
    <mergeCell ref="H55:J55"/>
    <mergeCell ref="G54:J54"/>
    <mergeCell ref="B48:J48"/>
    <mergeCell ref="C55:E55"/>
    <mergeCell ref="B53:C53"/>
    <mergeCell ref="B47:J47"/>
    <mergeCell ref="C42:D42"/>
    <mergeCell ref="C44:D44"/>
    <mergeCell ref="H42:I42"/>
    <mergeCell ref="F42:G42"/>
    <mergeCell ref="F44:G44"/>
    <mergeCell ref="H44:I44"/>
  </mergeCells>
  <printOptions horizontalCentered="1" verticalCentered="1"/>
  <pageMargins left="0.47244094488188981" right="0.19685039370078741" top="0" bottom="0"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1">
    <tabColor rgb="FFFF0000"/>
    <pageSetUpPr fitToPage="1"/>
  </sheetPr>
  <dimension ref="A1:AA58"/>
  <sheetViews>
    <sheetView showGridLines="0" zoomScale="89" zoomScaleNormal="89" workbookViewId="0">
      <pane ySplit="10" topLeftCell="A24" activePane="bottomLeft" state="frozen"/>
      <selection activeCell="H59" sqref="H59"/>
      <selection pane="bottomLeft" activeCell="Q3" sqref="Q3"/>
    </sheetView>
  </sheetViews>
  <sheetFormatPr defaultColWidth="9.1796875" defaultRowHeight="13"/>
  <cols>
    <col min="1" max="1" width="0.7265625" style="763" customWidth="1"/>
    <col min="2" max="2" width="14" style="769" customWidth="1"/>
    <col min="3" max="3" width="1.6328125" style="763" customWidth="1"/>
    <col min="4" max="4" width="11.26953125" style="769" customWidth="1"/>
    <col min="5" max="5" width="7.26953125" style="1" customWidth="1"/>
    <col min="6" max="6" width="11.453125" style="769" customWidth="1"/>
    <col min="7" max="7" width="0.7265625" style="769" customWidth="1"/>
    <col min="8" max="8" width="15" style="1" bestFit="1" customWidth="1"/>
    <col min="9" max="9" width="11" style="769" customWidth="1"/>
    <col min="10" max="10" width="1.6328125" style="769" customWidth="1"/>
    <col min="11" max="11" width="8.1796875" style="1" customWidth="1"/>
    <col min="12" max="12" width="11.81640625" style="1" bestFit="1" customWidth="1"/>
    <col min="13" max="13" width="0.453125" style="763" customWidth="1"/>
    <col min="14" max="14" width="14.26953125" style="769" customWidth="1"/>
    <col min="15" max="15" width="1.6328125" style="769" customWidth="1"/>
    <col min="16" max="16" width="11.1796875" style="769" customWidth="1"/>
    <col min="17" max="17" width="8.453125" style="1" customWidth="1"/>
    <col min="18" max="18" width="11.81640625" style="1" bestFit="1" customWidth="1"/>
    <col min="19" max="19" width="1" style="763" customWidth="1"/>
    <col min="20" max="20" width="14" style="1" customWidth="1"/>
    <col min="21" max="21" width="1.6328125" style="763" customWidth="1"/>
    <col min="22" max="22" width="11.54296875" style="769" customWidth="1"/>
    <col min="23" max="23" width="7.54296875" style="1" bestFit="1" customWidth="1"/>
    <col min="24" max="24" width="10.1796875" style="763" customWidth="1"/>
    <col min="25" max="25" width="9.1796875" style="763"/>
    <col min="26" max="26" width="10.1796875" style="763" bestFit="1" customWidth="1"/>
    <col min="27" max="16384" width="9.1796875" style="763"/>
  </cols>
  <sheetData>
    <row r="1" spans="1:27" s="5" customFormat="1" ht="14.25" customHeight="1" thickBot="1">
      <c r="A1" s="49"/>
      <c r="B1" s="1573" t="str">
        <f>VLOOKUP('1FComprador'!B9,'0F Lj'!$B$32:$G$37,3)</f>
        <v>Vendedor(a) Projetista : Vendedor 1</v>
      </c>
      <c r="C1" s="1574"/>
      <c r="D1" s="1574"/>
      <c r="E1" s="1574"/>
      <c r="F1" s="1574"/>
      <c r="G1" s="1575"/>
      <c r="H1" s="664" t="str">
        <f>VLOOKUP('1FComprador'!B9,'0F Lj'!$B$32:$G$37,4)</f>
        <v>(21) 11111-1111</v>
      </c>
      <c r="I1" s="1567">
        <f>VLOOKUP('1FComprador'!B9,'0F Lj'!$B$32:$G$37,5)</f>
        <v>3</v>
      </c>
      <c r="J1" s="1568"/>
      <c r="K1" s="1560" t="str">
        <f>HYPERLINK("http://bydesigner.com.br/cartao/?id="&amp;'3Orçto'!$I$1,"Cartão de Visita Digital")</f>
        <v>Cartão de Visita Digital</v>
      </c>
      <c r="L1" s="1561"/>
      <c r="M1" s="1561"/>
      <c r="N1" s="1561"/>
      <c r="O1" s="341"/>
      <c r="P1" s="1649" t="str">
        <f>'0F Lj'!F2</f>
        <v>Versão nº 22/07/2025</v>
      </c>
      <c r="Q1" s="1650"/>
      <c r="R1" s="1650"/>
      <c r="S1" s="1651"/>
      <c r="T1" s="1620" t="str">
        <f>'0F Lj'!E2</f>
        <v>SisBrasil Nº  10</v>
      </c>
      <c r="U1" s="1621"/>
      <c r="V1" s="1533" t="str">
        <f>'0F Lj'!E3</f>
        <v>Validade Sistema :</v>
      </c>
      <c r="W1" s="1534"/>
      <c r="X1" s="101">
        <f>'0F Lj'!F3</f>
        <v>46386</v>
      </c>
    </row>
    <row r="2" spans="1:27" ht="15" thickBot="1">
      <c r="B2" s="1590" t="str">
        <f>'0F Lj'!D12</f>
        <v>Razão Social da Loja</v>
      </c>
      <c r="C2" s="1591"/>
      <c r="D2" s="1591"/>
      <c r="E2" s="1591"/>
      <c r="F2" s="1591"/>
      <c r="G2" s="1592"/>
      <c r="H2" s="773" t="str">
        <f>VLOOKUP('1FComprador'!B9,'0F Lj'!$B$32:$G$37,2)</f>
        <v>11.111.111-77</v>
      </c>
      <c r="I2" s="1570" t="str">
        <f ca="1">IF('14 Pers.'!H1&lt;=X1,"Preencha os campos em amarelo. Mk 400","Sistema vencido, Planilha Invalida, entre contato Neri (21)97014-2420")</f>
        <v>Preencha os campos em amarelo. Mk 400</v>
      </c>
      <c r="J2" s="1571"/>
      <c r="K2" s="1571"/>
      <c r="L2" s="1571"/>
      <c r="M2" s="1571"/>
      <c r="N2" s="1571"/>
      <c r="O2" s="1572"/>
      <c r="P2" s="792" t="s">
        <v>222</v>
      </c>
      <c r="Q2" s="793">
        <v>2.19</v>
      </c>
      <c r="R2" s="1629" t="s">
        <v>223</v>
      </c>
      <c r="S2" s="1630"/>
      <c r="T2" s="1633" t="str">
        <f>'0F Lj'!D23</f>
        <v>E-mail da Loja</v>
      </c>
      <c r="U2" s="1634"/>
      <c r="V2" s="1634"/>
      <c r="W2" s="1634"/>
      <c r="X2" s="1635"/>
    </row>
    <row r="3" spans="1:27" ht="14.5" thickBot="1">
      <c r="B3" s="1564" t="str">
        <f>'0F Lj'!D13</f>
        <v>Nome Fantasia Loja</v>
      </c>
      <c r="C3" s="1565"/>
      <c r="D3" s="1565"/>
      <c r="E3" s="1565"/>
      <c r="F3" s="1565"/>
      <c r="G3" s="1565"/>
      <c r="H3" s="1566"/>
      <c r="I3" s="1564" t="s">
        <v>224</v>
      </c>
      <c r="J3" s="1565"/>
      <c r="K3" s="1566"/>
      <c r="L3" s="796">
        <f>ROUNDUP('14 Pers.'!T37,0)</f>
        <v>530</v>
      </c>
      <c r="M3" s="797"/>
      <c r="N3" s="794" t="str">
        <f>'14 Pers.'!P38</f>
        <v>Prêmio Fabrica</v>
      </c>
      <c r="O3" s="795"/>
      <c r="P3" s="796">
        <f>'14 Pers.'!T38</f>
        <v>795</v>
      </c>
      <c r="Q3" s="798">
        <f>'0F Lj'!F29</f>
        <v>40</v>
      </c>
      <c r="R3" s="799" t="str">
        <f>'0F Lj'!G29</f>
        <v>até 40 dias úteis</v>
      </c>
      <c r="S3" s="800"/>
      <c r="T3" s="1636" t="str">
        <f>'0F Lj'!D14</f>
        <v>Fone da loja</v>
      </c>
      <c r="U3" s="1637"/>
      <c r="V3" s="1637"/>
      <c r="W3" s="1637"/>
      <c r="X3" s="1638"/>
    </row>
    <row r="4" spans="1:27" ht="15" thickBot="1">
      <c r="B4" s="774" t="s">
        <v>225</v>
      </c>
      <c r="C4" s="775"/>
      <c r="D4" s="1596" t="str">
        <f>'0F Lj'!B32</f>
        <v>Vendedor 1</v>
      </c>
      <c r="E4" s="1597"/>
      <c r="F4" s="1598" t="s">
        <v>226</v>
      </c>
      <c r="G4" s="1599"/>
      <c r="H4" s="1599"/>
      <c r="I4" s="1600" t="s">
        <v>227</v>
      </c>
      <c r="J4" s="1601"/>
      <c r="K4" s="1601"/>
      <c r="L4" s="1602"/>
      <c r="M4" s="1593" t="str">
        <f>"RT "&amp;'1FComprador'!L16</f>
        <v>RT Led</v>
      </c>
      <c r="N4" s="1594"/>
      <c r="O4" s="1595"/>
      <c r="P4" s="102">
        <f ca="1">NOW()</f>
        <v>46153.67125486111</v>
      </c>
      <c r="Q4" s="103" t="s">
        <v>228</v>
      </c>
      <c r="R4" s="1622">
        <f>'14 Pers.'!$T$22</f>
        <v>10000</v>
      </c>
      <c r="S4" s="1623"/>
      <c r="T4" s="1642" t="s">
        <v>229</v>
      </c>
      <c r="U4" s="1643"/>
      <c r="V4" s="1639" t="str">
        <f>IF('1FComprador'!D12&lt;&gt;"",'1FComprador'!D12,"")</f>
        <v/>
      </c>
      <c r="W4" s="1640"/>
      <c r="X4" s="1641"/>
      <c r="Z4" s="764"/>
    </row>
    <row r="5" spans="1:27" ht="14.25" customHeight="1" thickBot="1">
      <c r="B5" s="1603" t="s">
        <v>230</v>
      </c>
      <c r="C5" s="1604"/>
      <c r="D5" s="1556">
        <v>0</v>
      </c>
      <c r="E5" s="1557"/>
      <c r="F5" s="801" t="s">
        <v>231</v>
      </c>
      <c r="G5" s="1556">
        <v>50000</v>
      </c>
      <c r="H5" s="1557"/>
      <c r="I5" s="1605" t="s">
        <v>232</v>
      </c>
      <c r="J5" s="1606"/>
      <c r="K5" s="1606"/>
      <c r="L5" s="1607"/>
      <c r="M5" s="1610">
        <v>0</v>
      </c>
      <c r="N5" s="1611"/>
      <c r="O5" s="1612"/>
      <c r="P5" s="104">
        <f ca="1">NOW()</f>
        <v>46153.67125486111</v>
      </c>
      <c r="Q5" s="105" t="s">
        <v>233</v>
      </c>
      <c r="R5" s="1622">
        <f>'14 Pers.'!T42</f>
        <v>8074</v>
      </c>
      <c r="S5" s="1623"/>
      <c r="T5" s="1644" t="s">
        <v>234</v>
      </c>
      <c r="U5" s="1645"/>
      <c r="V5" s="1639" t="str">
        <f>'0F Lj'!D15</f>
        <v>Nome Fantasia</v>
      </c>
      <c r="W5" s="1640"/>
      <c r="X5" s="1641"/>
    </row>
    <row r="6" spans="1:27" ht="14.25" customHeight="1" thickBot="1">
      <c r="B6" s="776" t="s">
        <v>235</v>
      </c>
      <c r="C6" s="777"/>
      <c r="D6" s="1588">
        <f>ROUNDUP($D$7-$D$5,0)</f>
        <v>26500</v>
      </c>
      <c r="E6" s="1589"/>
      <c r="F6" s="801" t="s">
        <v>236</v>
      </c>
      <c r="G6" s="1556">
        <v>0</v>
      </c>
      <c r="H6" s="1557"/>
      <c r="I6" s="1551" t="s">
        <v>237</v>
      </c>
      <c r="J6" s="1552"/>
      <c r="K6" s="802">
        <f>'9PG Projetista'!D32</f>
        <v>2133</v>
      </c>
      <c r="L6" s="883">
        <f>'9PG Projetista'!C30</f>
        <v>7.8617819706498948E-2</v>
      </c>
      <c r="M6" s="882" t="s">
        <v>238</v>
      </c>
      <c r="N6" s="880"/>
      <c r="O6" s="881"/>
      <c r="P6" s="803" t="s">
        <v>239</v>
      </c>
      <c r="Q6" s="106" t="s">
        <v>240</v>
      </c>
      <c r="R6" s="1622">
        <f ca="1">'8Resumo Venda'!G56</f>
        <v>7100</v>
      </c>
      <c r="S6" s="1623"/>
      <c r="T6" s="1624" t="s">
        <v>241</v>
      </c>
      <c r="U6" s="1625"/>
      <c r="V6" s="1646" t="s">
        <v>242</v>
      </c>
      <c r="W6" s="1647"/>
      <c r="X6" s="1648"/>
      <c r="Z6" s="765"/>
      <c r="AA6" s="766"/>
    </row>
    <row r="7" spans="1:27" ht="14.5" thickBot="1">
      <c r="B7" s="1618" t="s">
        <v>243</v>
      </c>
      <c r="C7" s="1619"/>
      <c r="D7" s="1558">
        <f>ROUNDUP($G$7-($G$5*$R$7),0)</f>
        <v>26500</v>
      </c>
      <c r="E7" s="1559"/>
      <c r="F7" s="804" t="s">
        <v>244</v>
      </c>
      <c r="G7" s="1562">
        <f>$G$5+G6</f>
        <v>50000</v>
      </c>
      <c r="H7" s="1563"/>
      <c r="I7" s="1569" t="s">
        <v>245</v>
      </c>
      <c r="J7" s="1569"/>
      <c r="K7" s="1569"/>
      <c r="L7" s="1616">
        <v>0.42</v>
      </c>
      <c r="M7" s="1617"/>
      <c r="N7" s="1617"/>
      <c r="O7" s="805"/>
      <c r="P7" s="806">
        <v>0.05</v>
      </c>
      <c r="Q7" s="807">
        <f ca="1">'8Resumo Venda'!$D$55</f>
        <v>0.27710169714511246</v>
      </c>
      <c r="R7" s="1631">
        <f>SUM(desconto1+deconto2)</f>
        <v>0.47</v>
      </c>
      <c r="S7" s="1632"/>
      <c r="T7" s="1531" t="s">
        <v>900</v>
      </c>
      <c r="U7" s="1532"/>
      <c r="V7" s="1626" t="s">
        <v>771</v>
      </c>
      <c r="W7" s="1627"/>
      <c r="X7" s="1628"/>
      <c r="Z7" s="765"/>
      <c r="AA7" s="766"/>
    </row>
    <row r="8" spans="1:27" s="778" customFormat="1" ht="13.5" thickBot="1">
      <c r="B8" s="1613" t="s">
        <v>246</v>
      </c>
      <c r="C8" s="1614"/>
      <c r="D8" s="1614"/>
      <c r="E8" s="1614"/>
      <c r="F8" s="1615"/>
      <c r="G8" s="779"/>
      <c r="H8" s="780" t="s">
        <v>247</v>
      </c>
      <c r="I8" s="1608">
        <f>IF(E47&gt;'0F Lj'!E43,"0",B47)</f>
        <v>0</v>
      </c>
      <c r="J8" s="1609"/>
      <c r="K8" s="781" t="s">
        <v>248</v>
      </c>
      <c r="L8" s="782" t="s">
        <v>300</v>
      </c>
      <c r="M8" s="783" t="s">
        <v>250</v>
      </c>
      <c r="N8" s="784">
        <f>IF(E47&gt;'0F Lj'!E43,"0",E47)</f>
        <v>11</v>
      </c>
      <c r="O8" s="785" t="s">
        <v>251</v>
      </c>
      <c r="P8" s="786">
        <f ca="1">IF(E47&gt;'0F Lj'!E43,"0",F47)</f>
        <v>2764</v>
      </c>
      <c r="Q8" s="787">
        <f ca="1">VLOOKUP(L8,'14 Pers.'!X3:AB148,4)</f>
        <v>-0.39192000000000005</v>
      </c>
      <c r="R8" s="788">
        <f ca="1">P8*N8</f>
        <v>30404</v>
      </c>
      <c r="S8" s="789"/>
      <c r="T8" s="1580" t="s">
        <v>252</v>
      </c>
      <c r="U8" s="1581"/>
      <c r="V8" s="1582">
        <f ca="1">I8+R8</f>
        <v>30404</v>
      </c>
      <c r="W8" s="1583"/>
      <c r="X8" s="1584"/>
      <c r="Z8" s="790"/>
      <c r="AA8" s="791"/>
    </row>
    <row r="9" spans="1:27" thickBot="1">
      <c r="B9" s="1585" t="s">
        <v>253</v>
      </c>
      <c r="C9" s="1586"/>
      <c r="D9" s="1587"/>
      <c r="E9" s="808" t="s">
        <v>254</v>
      </c>
      <c r="F9" s="809" t="s">
        <v>255</v>
      </c>
      <c r="G9" s="810"/>
      <c r="H9" s="1549" t="s">
        <v>256</v>
      </c>
      <c r="I9" s="1550"/>
      <c r="J9" s="810"/>
      <c r="K9" s="811" t="s">
        <v>254</v>
      </c>
      <c r="L9" s="812" t="s">
        <v>255</v>
      </c>
      <c r="M9" s="810"/>
      <c r="N9" s="1553" t="s">
        <v>257</v>
      </c>
      <c r="O9" s="1554"/>
      <c r="P9" s="1555"/>
      <c r="Q9" s="813" t="s">
        <v>254</v>
      </c>
      <c r="R9" s="814" t="s">
        <v>255</v>
      </c>
      <c r="S9" s="815"/>
      <c r="T9" s="1577" t="s">
        <v>258</v>
      </c>
      <c r="U9" s="1578"/>
      <c r="V9" s="1579"/>
      <c r="W9" s="816" t="s">
        <v>254</v>
      </c>
      <c r="X9" s="817" t="s">
        <v>255</v>
      </c>
      <c r="Z9" s="765"/>
      <c r="AA9" s="766"/>
    </row>
    <row r="10" spans="1:27" s="767" customFormat="1" thickBot="1">
      <c r="B10" s="818" t="s">
        <v>235</v>
      </c>
      <c r="C10" s="930"/>
      <c r="D10" s="930" t="s">
        <v>259</v>
      </c>
      <c r="E10" s="819" t="s">
        <v>260</v>
      </c>
      <c r="F10" s="820" t="s">
        <v>261</v>
      </c>
      <c r="G10" s="931"/>
      <c r="H10" s="932" t="s">
        <v>235</v>
      </c>
      <c r="I10" s="928" t="s">
        <v>259</v>
      </c>
      <c r="J10" s="928"/>
      <c r="K10" s="933" t="s">
        <v>260</v>
      </c>
      <c r="L10" s="821" t="s">
        <v>261</v>
      </c>
      <c r="M10" s="931"/>
      <c r="N10" s="822" t="s">
        <v>235</v>
      </c>
      <c r="O10" s="823"/>
      <c r="P10" s="935" t="s">
        <v>259</v>
      </c>
      <c r="Q10" s="824" t="s">
        <v>260</v>
      </c>
      <c r="R10" s="825" t="s">
        <v>261</v>
      </c>
      <c r="S10" s="934"/>
      <c r="T10" s="936" t="s">
        <v>235</v>
      </c>
      <c r="U10" s="928"/>
      <c r="V10" s="928" t="s">
        <v>259</v>
      </c>
      <c r="W10" s="826" t="s">
        <v>260</v>
      </c>
      <c r="X10" s="827" t="s">
        <v>261</v>
      </c>
    </row>
    <row r="11" spans="1:27" thickBot="1">
      <c r="B11" s="828" t="s">
        <v>262</v>
      </c>
      <c r="C11" s="929" t="s">
        <v>908</v>
      </c>
      <c r="D11" s="829">
        <f>IF(C11="s",ROUNDUP('Losango 30'!Y4,0),0)</f>
        <v>26500</v>
      </c>
      <c r="E11" s="830">
        <f t="shared" ref="E11" si="0">(F11+$D$5)/$G$7-1</f>
        <v>-0.47</v>
      </c>
      <c r="F11" s="831">
        <f>D11*1</f>
        <v>26500</v>
      </c>
      <c r="G11" s="832"/>
      <c r="H11" s="833" t="s">
        <v>263</v>
      </c>
      <c r="I11" s="834">
        <f ca="1">IF(J11="s",ROUNDUP('Losango 30'!T4,0),0)</f>
        <v>27262</v>
      </c>
      <c r="J11" s="929" t="s">
        <v>908</v>
      </c>
      <c r="K11" s="835">
        <f t="shared" ref="K11:K46" ca="1" si="1">(L11+$D$5)/$G$7-1</f>
        <v>-0.45476000000000005</v>
      </c>
      <c r="L11" s="831">
        <f ca="1">IF(I11&gt;0,I11*1," ")</f>
        <v>27262</v>
      </c>
      <c r="M11" s="832"/>
      <c r="N11" s="836" t="s">
        <v>264</v>
      </c>
      <c r="O11" s="929" t="s">
        <v>908</v>
      </c>
      <c r="P11" s="909">
        <f ca="1">IF(O11="s",ROUNDUP('Losango 60'!T4,0),0)</f>
        <v>27968</v>
      </c>
      <c r="Q11" s="910">
        <f ca="1">(R11+$D$5)/$G$7-1</f>
        <v>-0.44064000000000003</v>
      </c>
      <c r="R11" s="911">
        <f ca="1">P11*1</f>
        <v>27968</v>
      </c>
      <c r="S11" s="912"/>
      <c r="T11" s="833" t="s">
        <v>265</v>
      </c>
      <c r="U11" s="929" t="s">
        <v>908</v>
      </c>
      <c r="V11" s="913">
        <f ca="1">IF(U11="s",ROUNDUP('Losango 90'!T4,0),0)</f>
        <v>28692</v>
      </c>
      <c r="W11" s="914">
        <f t="shared" ref="W11:W46" ca="1" si="2">(X11+$D$5)/$G$7-1</f>
        <v>-0.42615999999999998</v>
      </c>
      <c r="X11" s="915">
        <f ca="1">V11*1</f>
        <v>28692</v>
      </c>
    </row>
    <row r="12" spans="1:27" ht="12.5">
      <c r="B12" s="837" t="s">
        <v>266</v>
      </c>
      <c r="C12" s="929" t="s">
        <v>908</v>
      </c>
      <c r="D12" s="829">
        <f ca="1">IF(C12="s",ROUNDUP('Losango 30'!Y5,0),0)</f>
        <v>13509</v>
      </c>
      <c r="E12" s="838">
        <f t="shared" ref="E12:E46" ca="1" si="3">(F12+$D$5)/$G$7-1</f>
        <v>-0.45964000000000005</v>
      </c>
      <c r="F12" s="831">
        <f ca="1">D12*2</f>
        <v>27018</v>
      </c>
      <c r="G12" s="839"/>
      <c r="H12" s="840" t="s">
        <v>267</v>
      </c>
      <c r="I12" s="834">
        <f ca="1">IF(J12="s",ROUNDUP('Losango 30'!T5,0),0)</f>
        <v>13768</v>
      </c>
      <c r="J12" s="929" t="s">
        <v>908</v>
      </c>
      <c r="K12" s="841">
        <f t="shared" ca="1" si="1"/>
        <v>-0.44928000000000001</v>
      </c>
      <c r="L12" s="831">
        <f ca="1">I12*2</f>
        <v>27536</v>
      </c>
      <c r="M12" s="839"/>
      <c r="N12" s="842" t="s">
        <v>268</v>
      </c>
      <c r="O12" s="929" t="s">
        <v>908</v>
      </c>
      <c r="P12" s="909">
        <f ca="1">IF(O12="s",ROUNDUP('Losango 60'!T5,0),0)</f>
        <v>14124</v>
      </c>
      <c r="Q12" s="916">
        <f ca="1">(R12+$D$5)/$G$5-1</f>
        <v>-0.43503999999999998</v>
      </c>
      <c r="R12" s="911">
        <f ca="1">P12*2</f>
        <v>28248</v>
      </c>
      <c r="S12" s="917"/>
      <c r="T12" s="840" t="s">
        <v>269</v>
      </c>
      <c r="U12" s="929" t="s">
        <v>908</v>
      </c>
      <c r="V12" s="913">
        <f ca="1">IF(U12="s",ROUNDUP('Losango 90'!T5,0),0)</f>
        <v>14490</v>
      </c>
      <c r="W12" s="918">
        <f t="shared" ca="1" si="2"/>
        <v>-0.4204</v>
      </c>
      <c r="X12" s="915">
        <f ca="1">V12*2</f>
        <v>28980</v>
      </c>
    </row>
    <row r="13" spans="1:27" ht="12.5">
      <c r="B13" s="837" t="s">
        <v>270</v>
      </c>
      <c r="C13" s="929" t="s">
        <v>908</v>
      </c>
      <c r="D13" s="829">
        <f ca="1">IF(C13="s",ROUNDUP('Losango 30'!Y6,0),0)</f>
        <v>9142</v>
      </c>
      <c r="E13" s="838">
        <f t="shared" ca="1" si="3"/>
        <v>-0.45147999999999999</v>
      </c>
      <c r="F13" s="831">
        <f ca="1">D13*3</f>
        <v>27426</v>
      </c>
      <c r="G13" s="839"/>
      <c r="H13" s="840" t="s">
        <v>271</v>
      </c>
      <c r="I13" s="834">
        <f ca="1">IF(J13="s",ROUNDUP('Losango 30'!T6,0),0)</f>
        <v>9295</v>
      </c>
      <c r="J13" s="929" t="s">
        <v>908</v>
      </c>
      <c r="K13" s="841">
        <f t="shared" ca="1" si="1"/>
        <v>-0.44230000000000003</v>
      </c>
      <c r="L13" s="831">
        <f ca="1">I13*3</f>
        <v>27885</v>
      </c>
      <c r="M13" s="839"/>
      <c r="N13" s="842" t="s">
        <v>272</v>
      </c>
      <c r="O13" s="929" t="s">
        <v>908</v>
      </c>
      <c r="P13" s="909">
        <f ca="1">IF(O13="s",ROUNDUP('Losango 60'!T6,0),0)</f>
        <v>9536</v>
      </c>
      <c r="Q13" s="916">
        <f ca="1">(R13+$D$5)/$G$5-1</f>
        <v>-0.42784</v>
      </c>
      <c r="R13" s="911">
        <f ca="1">P13*3</f>
        <v>28608</v>
      </c>
      <c r="S13" s="917"/>
      <c r="T13" s="840" t="s">
        <v>273</v>
      </c>
      <c r="U13" s="929" t="s">
        <v>908</v>
      </c>
      <c r="V13" s="913">
        <f ca="1">IF(U13="s",ROUNDUP('Losango 90'!T6,0),0)</f>
        <v>9783</v>
      </c>
      <c r="W13" s="918">
        <f t="shared" ca="1" si="2"/>
        <v>-0.41302000000000005</v>
      </c>
      <c r="X13" s="915">
        <f ca="1">V13*3</f>
        <v>29349</v>
      </c>
    </row>
    <row r="14" spans="1:27" ht="12.5">
      <c r="B14" s="837" t="s">
        <v>274</v>
      </c>
      <c r="C14" s="929" t="s">
        <v>908</v>
      </c>
      <c r="D14" s="829">
        <f ca="1">IF(C14="s",ROUNDUP('Losango 30'!Y7,0),0)</f>
        <v>6951</v>
      </c>
      <c r="E14" s="838">
        <f t="shared" ca="1" si="3"/>
        <v>-0.44391999999999998</v>
      </c>
      <c r="F14" s="831">
        <f ca="1">D14*4</f>
        <v>27804</v>
      </c>
      <c r="G14" s="839"/>
      <c r="H14" s="840" t="s">
        <v>275</v>
      </c>
      <c r="I14" s="834">
        <f ca="1">IF(J14="s",ROUNDUP('Losango 30'!T7,0),0)</f>
        <v>7060</v>
      </c>
      <c r="J14" s="929" t="s">
        <v>908</v>
      </c>
      <c r="K14" s="841">
        <f t="shared" ca="1" si="1"/>
        <v>-0.43520000000000003</v>
      </c>
      <c r="L14" s="831">
        <f ca="1">I14*4</f>
        <v>28240</v>
      </c>
      <c r="M14" s="839"/>
      <c r="N14" s="842" t="s">
        <v>276</v>
      </c>
      <c r="O14" s="929" t="s">
        <v>908</v>
      </c>
      <c r="P14" s="909">
        <f ca="1">IF(O14="s",ROUNDUP('Losango 60'!T7,0),0)</f>
        <v>7243</v>
      </c>
      <c r="Q14" s="916">
        <f ca="1">(R14+$D$5)/$G$5-1</f>
        <v>-0.42056000000000004</v>
      </c>
      <c r="R14" s="911">
        <f ca="1">P14*4</f>
        <v>28972</v>
      </c>
      <c r="S14" s="917"/>
      <c r="T14" s="840" t="s">
        <v>277</v>
      </c>
      <c r="U14" s="929" t="s">
        <v>908</v>
      </c>
      <c r="V14" s="913">
        <f ca="1">IF(U14="s",ROUNDUP('Losango 90'!T7,0),0)</f>
        <v>7430</v>
      </c>
      <c r="W14" s="918">
        <f t="shared" ca="1" si="2"/>
        <v>-0.40559999999999996</v>
      </c>
      <c r="X14" s="915">
        <f ca="1">V14*4</f>
        <v>29720</v>
      </c>
    </row>
    <row r="15" spans="1:27" ht="12.5">
      <c r="B15" s="837" t="s">
        <v>250</v>
      </c>
      <c r="C15" s="929" t="s">
        <v>908</v>
      </c>
      <c r="D15" s="829">
        <f ca="1">IF(C15="s",ROUNDUP('Losango 30'!Y8,0),0)</f>
        <v>5635</v>
      </c>
      <c r="E15" s="838">
        <f t="shared" ca="1" si="3"/>
        <v>-0.4365</v>
      </c>
      <c r="F15" s="831">
        <f ca="1">D15*5</f>
        <v>28175</v>
      </c>
      <c r="G15" s="839"/>
      <c r="H15" s="840" t="s">
        <v>278</v>
      </c>
      <c r="I15" s="834">
        <f ca="1">IF(J15="s",ROUNDUP('Losango 30'!T8,0),0)</f>
        <v>5719</v>
      </c>
      <c r="J15" s="929" t="s">
        <v>908</v>
      </c>
      <c r="K15" s="841">
        <f t="shared" ca="1" si="1"/>
        <v>-0.42810000000000004</v>
      </c>
      <c r="L15" s="831">
        <f ca="1">I15*5</f>
        <v>28595</v>
      </c>
      <c r="M15" s="839"/>
      <c r="N15" s="842" t="s">
        <v>279</v>
      </c>
      <c r="O15" s="929" t="s">
        <v>908</v>
      </c>
      <c r="P15" s="909">
        <f ca="1">IF(O15="s",ROUNDUP('Losango 60'!T8,0),0)</f>
        <v>5867</v>
      </c>
      <c r="Q15" s="916">
        <f ca="1">(R16+$D$5)/$G$7-1</f>
        <v>-0.40588000000000002</v>
      </c>
      <c r="R15" s="911">
        <f ca="1">P15*5</f>
        <v>29335</v>
      </c>
      <c r="S15" s="917"/>
      <c r="T15" s="840" t="s">
        <v>280</v>
      </c>
      <c r="U15" s="929" t="s">
        <v>908</v>
      </c>
      <c r="V15" s="913">
        <f ca="1">IF(U15="s",ROUNDUP('Losango 90'!T8,0),0)</f>
        <v>6019</v>
      </c>
      <c r="W15" s="918">
        <f t="shared" ca="1" si="2"/>
        <v>-0.39810000000000001</v>
      </c>
      <c r="X15" s="915">
        <f ca="1">V15*5</f>
        <v>30095</v>
      </c>
      <c r="Z15" s="768"/>
    </row>
    <row r="16" spans="1:27" ht="12.5">
      <c r="B16" s="837" t="s">
        <v>281</v>
      </c>
      <c r="C16" s="929" t="s">
        <v>908</v>
      </c>
      <c r="D16" s="829">
        <f ca="1">IF(C16="s",ROUNDUP('Losango 30'!Y9,0),0)</f>
        <v>4758</v>
      </c>
      <c r="E16" s="838">
        <f t="shared" ca="1" si="3"/>
        <v>-0.42903999999999998</v>
      </c>
      <c r="F16" s="831">
        <f ca="1">D16*6</f>
        <v>28548</v>
      </c>
      <c r="G16" s="839"/>
      <c r="H16" s="840" t="s">
        <v>282</v>
      </c>
      <c r="I16" s="834">
        <f ca="1">IF(J16="s",ROUNDUP('Losango 30'!T9,0),0)</f>
        <v>4826</v>
      </c>
      <c r="J16" s="929" t="s">
        <v>908</v>
      </c>
      <c r="K16" s="841">
        <f t="shared" ca="1" si="1"/>
        <v>-0.42088000000000003</v>
      </c>
      <c r="L16" s="831">
        <f ca="1">I16*6</f>
        <v>28956</v>
      </c>
      <c r="M16" s="839"/>
      <c r="N16" s="842" t="s">
        <v>283</v>
      </c>
      <c r="O16" s="929" t="s">
        <v>908</v>
      </c>
      <c r="P16" s="909">
        <f ca="1">IF(O16="s",ROUNDUP('Losango 60'!T9,0),0)</f>
        <v>4951</v>
      </c>
      <c r="Q16" s="916">
        <f ca="1">(R17+$D$5)/$G$7-1</f>
        <v>-0.39842</v>
      </c>
      <c r="R16" s="911">
        <f ca="1">P16*6</f>
        <v>29706</v>
      </c>
      <c r="S16" s="917"/>
      <c r="T16" s="840" t="s">
        <v>284</v>
      </c>
      <c r="U16" s="929" t="s">
        <v>908</v>
      </c>
      <c r="V16" s="913">
        <f ca="1">IF(U16="s",ROUNDUP('Losango 90'!T9,0),0)</f>
        <v>5079</v>
      </c>
      <c r="W16" s="918">
        <f t="shared" ca="1" si="2"/>
        <v>-0.39051999999999998</v>
      </c>
      <c r="X16" s="915">
        <f ca="1">V16*6</f>
        <v>30474</v>
      </c>
    </row>
    <row r="17" spans="2:24" ht="12.5">
      <c r="B17" s="837" t="s">
        <v>285</v>
      </c>
      <c r="C17" s="929" t="s">
        <v>908</v>
      </c>
      <c r="D17" s="829">
        <f ca="1">IF(C17="s",ROUNDUP('Losango 30'!Y10,0),0)</f>
        <v>4131</v>
      </c>
      <c r="E17" s="838">
        <f t="shared" ca="1" si="3"/>
        <v>-0.42166000000000003</v>
      </c>
      <c r="F17" s="831">
        <f ca="1">D17*7</f>
        <v>28917</v>
      </c>
      <c r="G17" s="839"/>
      <c r="H17" s="840" t="s">
        <v>286</v>
      </c>
      <c r="I17" s="834">
        <f ca="1">IF(J17="s",ROUNDUP('Losango 30'!T10,0),0)</f>
        <v>4189</v>
      </c>
      <c r="J17" s="929" t="s">
        <v>908</v>
      </c>
      <c r="K17" s="841">
        <f t="shared" ca="1" si="1"/>
        <v>-0.41354000000000002</v>
      </c>
      <c r="L17" s="831">
        <f ca="1">I17*7</f>
        <v>29323</v>
      </c>
      <c r="M17" s="839"/>
      <c r="N17" s="842" t="s">
        <v>287</v>
      </c>
      <c r="O17" s="929" t="s">
        <v>908</v>
      </c>
      <c r="P17" s="909">
        <f ca="1">IF(O17="s",ROUNDUP('Losango 60'!T10,0),0)</f>
        <v>4297</v>
      </c>
      <c r="Q17" s="916">
        <f t="shared" ref="Q17:Q22" ca="1" si="4">(R17+$D$5)/$G$7-1</f>
        <v>-0.39842</v>
      </c>
      <c r="R17" s="911">
        <f ca="1">P17*7</f>
        <v>30079</v>
      </c>
      <c r="S17" s="917"/>
      <c r="T17" s="840" t="s">
        <v>288</v>
      </c>
      <c r="U17" s="929" t="s">
        <v>908</v>
      </c>
      <c r="V17" s="913">
        <f ca="1">IF(U17="s",ROUNDUP('Losango 90'!T10,0),0)</f>
        <v>4408</v>
      </c>
      <c r="W17" s="918">
        <f t="shared" ca="1" si="2"/>
        <v>-0.38288</v>
      </c>
      <c r="X17" s="915">
        <f ca="1">V17*7</f>
        <v>30856</v>
      </c>
    </row>
    <row r="18" spans="2:24" ht="12.5">
      <c r="B18" s="837" t="s">
        <v>289</v>
      </c>
      <c r="C18" s="929" t="s">
        <v>908</v>
      </c>
      <c r="D18" s="829">
        <f ca="1">IF(C18="s",ROUNDUP('Losango 30'!Y11,0),0)</f>
        <v>3661</v>
      </c>
      <c r="E18" s="838">
        <f t="shared" ca="1" si="3"/>
        <v>-0.41424000000000005</v>
      </c>
      <c r="F18" s="831">
        <f ca="1">D18*8</f>
        <v>29288</v>
      </c>
      <c r="G18" s="839"/>
      <c r="H18" s="840" t="s">
        <v>290</v>
      </c>
      <c r="I18" s="834">
        <f ca="1">IF(J18="s",ROUNDUP('Losango 30'!T11,0),0)</f>
        <v>3710</v>
      </c>
      <c r="J18" s="929" t="s">
        <v>908</v>
      </c>
      <c r="K18" s="841">
        <f t="shared" ca="1" si="1"/>
        <v>-0.40639999999999998</v>
      </c>
      <c r="L18" s="831">
        <f ca="1">I18*8</f>
        <v>29680</v>
      </c>
      <c r="M18" s="839"/>
      <c r="N18" s="842" t="s">
        <v>291</v>
      </c>
      <c r="O18" s="929" t="s">
        <v>908</v>
      </c>
      <c r="P18" s="909">
        <f ca="1">IF(O18="s",ROUNDUP('Losango 60'!T11,0),0)</f>
        <v>3807</v>
      </c>
      <c r="Q18" s="916">
        <f t="shared" ca="1" si="4"/>
        <v>-0.39088000000000001</v>
      </c>
      <c r="R18" s="911">
        <f ca="1">P18*8</f>
        <v>30456</v>
      </c>
      <c r="S18" s="917"/>
      <c r="T18" s="840" t="s">
        <v>292</v>
      </c>
      <c r="U18" s="929" t="s">
        <v>908</v>
      </c>
      <c r="V18" s="913">
        <f ca="1">IF(U18="s",ROUNDUP('Losango 90'!T11,0),0)</f>
        <v>3905</v>
      </c>
      <c r="W18" s="918">
        <f t="shared" ca="1" si="2"/>
        <v>-0.37519999999999998</v>
      </c>
      <c r="X18" s="915">
        <f ca="1">V18*8</f>
        <v>31240</v>
      </c>
    </row>
    <row r="19" spans="2:24" ht="12.5">
      <c r="B19" s="837" t="s">
        <v>293</v>
      </c>
      <c r="C19" s="929" t="s">
        <v>908</v>
      </c>
      <c r="D19" s="829">
        <f ca="1">IF(C19="s",ROUNDUP('Losango 30'!Y12,0),0)</f>
        <v>3295</v>
      </c>
      <c r="E19" s="838">
        <f t="shared" ca="1" si="3"/>
        <v>-0.40690000000000004</v>
      </c>
      <c r="F19" s="831">
        <f ca="1">D19*9</f>
        <v>29655</v>
      </c>
      <c r="G19" s="839"/>
      <c r="H19" s="840" t="s">
        <v>294</v>
      </c>
      <c r="I19" s="834">
        <f ca="1">IF(J19="s",ROUNDUP('Losango 30'!T12,0),0)</f>
        <v>3339</v>
      </c>
      <c r="J19" s="929" t="s">
        <v>908</v>
      </c>
      <c r="K19" s="841">
        <f t="shared" ca="1" si="1"/>
        <v>-0.39898</v>
      </c>
      <c r="L19" s="831">
        <f ca="1">I19*9</f>
        <v>30051</v>
      </c>
      <c r="M19" s="839"/>
      <c r="N19" s="842" t="s">
        <v>295</v>
      </c>
      <c r="O19" s="929" t="s">
        <v>908</v>
      </c>
      <c r="P19" s="909">
        <f ca="1">IF(O19="s",ROUNDUP('Losango 60'!T12,0),0)</f>
        <v>3426</v>
      </c>
      <c r="Q19" s="916">
        <f t="shared" ca="1" si="4"/>
        <v>-0.38331999999999999</v>
      </c>
      <c r="R19" s="911">
        <f ca="1">P19*9</f>
        <v>30834</v>
      </c>
      <c r="S19" s="917"/>
      <c r="T19" s="840" t="s">
        <v>296</v>
      </c>
      <c r="U19" s="929" t="s">
        <v>908</v>
      </c>
      <c r="V19" s="913">
        <f ca="1">IF(U19="s",ROUNDUP('Losango 90'!T12,0),0)</f>
        <v>3514</v>
      </c>
      <c r="W19" s="918">
        <f t="shared" ca="1" si="2"/>
        <v>-0.36748000000000003</v>
      </c>
      <c r="X19" s="915">
        <f ca="1">V19*9</f>
        <v>31626</v>
      </c>
    </row>
    <row r="20" spans="2:24" thickBot="1">
      <c r="B20" s="837" t="s">
        <v>297</v>
      </c>
      <c r="C20" s="929" t="s">
        <v>908</v>
      </c>
      <c r="D20" s="829">
        <f ca="1">IF(C20="s",ROUNDUP('Losango 30'!Y13,0),0)</f>
        <v>3003</v>
      </c>
      <c r="E20" s="838">
        <f t="shared" ca="1" si="3"/>
        <v>-0.39939999999999998</v>
      </c>
      <c r="F20" s="831">
        <f ca="1">D20*10</f>
        <v>30030</v>
      </c>
      <c r="G20" s="839"/>
      <c r="H20" s="840" t="s">
        <v>249</v>
      </c>
      <c r="I20" s="834">
        <f ca="1">IF(J20="s",ROUNDUP('Losango 30'!T13,0),0)</f>
        <v>3042</v>
      </c>
      <c r="J20" s="929" t="s">
        <v>908</v>
      </c>
      <c r="K20" s="841">
        <f t="shared" ca="1" si="1"/>
        <v>-0.39159999999999995</v>
      </c>
      <c r="L20" s="831">
        <f ca="1">I20*10</f>
        <v>30420</v>
      </c>
      <c r="M20" s="839"/>
      <c r="N20" s="842" t="s">
        <v>298</v>
      </c>
      <c r="O20" s="929" t="s">
        <v>908</v>
      </c>
      <c r="P20" s="909">
        <f ca="1">IF(O20="s",ROUNDUP('Losango 60'!T13,0),0)</f>
        <v>3121</v>
      </c>
      <c r="Q20" s="916">
        <f t="shared" ca="1" si="4"/>
        <v>-0.37580000000000002</v>
      </c>
      <c r="R20" s="911">
        <f ca="1">P20*10</f>
        <v>31210</v>
      </c>
      <c r="S20" s="917"/>
      <c r="T20" s="840" t="s">
        <v>299</v>
      </c>
      <c r="U20" s="929" t="s">
        <v>908</v>
      </c>
      <c r="V20" s="913">
        <f ca="1">IF(U20="s",ROUNDUP('Losango 90'!T13,0),0)</f>
        <v>3202</v>
      </c>
      <c r="W20" s="918">
        <f t="shared" ca="1" si="2"/>
        <v>-0.35960000000000003</v>
      </c>
      <c r="X20" s="915">
        <f ca="1">V20*10</f>
        <v>32020</v>
      </c>
    </row>
    <row r="21" spans="2:24" thickBot="1">
      <c r="B21" s="837" t="s">
        <v>300</v>
      </c>
      <c r="C21" s="929" t="s">
        <v>908</v>
      </c>
      <c r="D21" s="829">
        <f ca="1">IF(C21="s",ROUNDUP('Losango 30'!Y14,0),0)</f>
        <v>2764</v>
      </c>
      <c r="E21" s="838">
        <f t="shared" ca="1" si="3"/>
        <v>-0.39192000000000005</v>
      </c>
      <c r="F21" s="831">
        <f ca="1">D21*11</f>
        <v>30404</v>
      </c>
      <c r="G21" s="843"/>
      <c r="H21" s="840" t="s">
        <v>301</v>
      </c>
      <c r="I21" s="834">
        <f ca="1">IF(J21="s",ROUNDUP('Losango 30'!T14,0),0)</f>
        <v>2800</v>
      </c>
      <c r="J21" s="929" t="s">
        <v>908</v>
      </c>
      <c r="K21" s="841">
        <f t="shared" ca="1" si="1"/>
        <v>-0.38400000000000001</v>
      </c>
      <c r="L21" s="831">
        <f ca="1">I21*11</f>
        <v>30800</v>
      </c>
      <c r="M21" s="843"/>
      <c r="N21" s="842" t="s">
        <v>302</v>
      </c>
      <c r="O21" s="929" t="s">
        <v>908</v>
      </c>
      <c r="P21" s="909">
        <f ca="1">IF(O21="s",ROUNDUP('Losango 60'!T14,0),0)</f>
        <v>2872</v>
      </c>
      <c r="Q21" s="916">
        <f t="shared" ca="1" si="4"/>
        <v>-0.36816000000000004</v>
      </c>
      <c r="R21" s="911">
        <f ca="1">P21*11</f>
        <v>31592</v>
      </c>
      <c r="S21" s="919"/>
      <c r="T21" s="840" t="s">
        <v>303</v>
      </c>
      <c r="U21" s="929" t="s">
        <v>908</v>
      </c>
      <c r="V21" s="913">
        <f ca="1">IF(U21="s",ROUNDUP('Losango 90'!T14,0),0)</f>
        <v>2947</v>
      </c>
      <c r="W21" s="918">
        <f t="shared" ca="1" si="2"/>
        <v>-0.35165999999999997</v>
      </c>
      <c r="X21" s="915">
        <f ca="1">V21*11</f>
        <v>32417</v>
      </c>
    </row>
    <row r="22" spans="2:24" ht="12.5">
      <c r="B22" s="837" t="s">
        <v>304</v>
      </c>
      <c r="C22" s="929" t="s">
        <v>908</v>
      </c>
      <c r="D22" s="829">
        <f ca="1">IF(C22="s",ROUNDUP('Losango 30'!Y15,0),0)</f>
        <v>2566</v>
      </c>
      <c r="E22" s="838">
        <f t="shared" ca="1" si="3"/>
        <v>-0.38415999999999995</v>
      </c>
      <c r="F22" s="831">
        <f ca="1">D22*12</f>
        <v>30792</v>
      </c>
      <c r="G22" s="843"/>
      <c r="H22" s="840" t="s">
        <v>305</v>
      </c>
      <c r="I22" s="834">
        <f ca="1">IF(J22="s",ROUNDUP('Losango 30'!T15,0),0)</f>
        <v>2598</v>
      </c>
      <c r="J22" s="929" t="s">
        <v>908</v>
      </c>
      <c r="K22" s="841">
        <f t="shared" ca="1" si="1"/>
        <v>-0.37648000000000004</v>
      </c>
      <c r="L22" s="831">
        <f ca="1">I22*12</f>
        <v>31176</v>
      </c>
      <c r="M22" s="843"/>
      <c r="N22" s="842" t="s">
        <v>306</v>
      </c>
      <c r="O22" s="929" t="s">
        <v>908</v>
      </c>
      <c r="P22" s="909">
        <f ca="1">IF(O22="s",ROUNDUP('Losango 60'!T15,0),0)</f>
        <v>2665</v>
      </c>
      <c r="Q22" s="916">
        <f t="shared" ca="1" si="4"/>
        <v>-0.36040000000000005</v>
      </c>
      <c r="R22" s="911">
        <f ca="1">P22*12</f>
        <v>31980</v>
      </c>
      <c r="S22" s="919"/>
      <c r="T22" s="840" t="s">
        <v>307</v>
      </c>
      <c r="U22" s="929" t="s">
        <v>908</v>
      </c>
      <c r="V22" s="913">
        <f ca="1">IF(U22="s",ROUNDUP('Losango 90'!T15,0),0)</f>
        <v>2734</v>
      </c>
      <c r="W22" s="918">
        <f t="shared" ca="1" si="2"/>
        <v>-0.34384000000000003</v>
      </c>
      <c r="X22" s="915">
        <f ca="1">V22*12</f>
        <v>32808</v>
      </c>
    </row>
    <row r="23" spans="2:24" ht="12.5">
      <c r="B23" s="837" t="s">
        <v>308</v>
      </c>
      <c r="C23" s="929" t="s">
        <v>908</v>
      </c>
      <c r="D23" s="829">
        <f ca="1">IF(C23="s",ROUNDUP('Losango 30'!Y16,0),0)</f>
        <v>2397</v>
      </c>
      <c r="E23" s="838">
        <f t="shared" ca="1" si="3"/>
        <v>-0.37678</v>
      </c>
      <c r="F23" s="831">
        <f ca="1">D23*13</f>
        <v>31161</v>
      </c>
      <c r="G23" s="839"/>
      <c r="H23" s="840" t="s">
        <v>309</v>
      </c>
      <c r="I23" s="834">
        <f ca="1">IF(J23="s",ROUNDUP('Losango 30'!T16,0),0)</f>
        <v>2427</v>
      </c>
      <c r="J23" s="929" t="s">
        <v>908</v>
      </c>
      <c r="K23" s="841">
        <f t="shared" ca="1" si="1"/>
        <v>-0.36897999999999997</v>
      </c>
      <c r="L23" s="831">
        <f ca="1">I23*13</f>
        <v>31551</v>
      </c>
      <c r="M23" s="839"/>
      <c r="N23" s="842" t="s">
        <v>310</v>
      </c>
      <c r="O23" s="929" t="s">
        <v>908</v>
      </c>
      <c r="P23" s="909">
        <f ca="1">IF(O23="s",ROUNDUP('Losango 60'!T16,0),0)</f>
        <v>2490</v>
      </c>
      <c r="Q23" s="916">
        <f ca="1">(R23+$D$5)/$G$5-1</f>
        <v>-0.35260000000000002</v>
      </c>
      <c r="R23" s="911">
        <f ca="1">P23*13</f>
        <v>32370</v>
      </c>
      <c r="S23" s="917"/>
      <c r="T23" s="840" t="s">
        <v>311</v>
      </c>
      <c r="U23" s="929" t="s">
        <v>908</v>
      </c>
      <c r="V23" s="913">
        <f ca="1">IF(U23="s",ROUNDUP('Losango 90'!T16,0),0)</f>
        <v>2555</v>
      </c>
      <c r="W23" s="918">
        <f t="shared" ca="1" si="2"/>
        <v>-0.3357</v>
      </c>
      <c r="X23" s="915">
        <f ca="1">V23*13</f>
        <v>33215</v>
      </c>
    </row>
    <row r="24" spans="2:24" ht="12.5">
      <c r="B24" s="837" t="s">
        <v>312</v>
      </c>
      <c r="C24" s="929" t="s">
        <v>908</v>
      </c>
      <c r="D24" s="829">
        <f ca="1">IF(C24="s",ROUNDUP('Losango 30'!Y17,0),0)</f>
        <v>2254</v>
      </c>
      <c r="E24" s="838">
        <f t="shared" ca="1" si="3"/>
        <v>-0.36887999999999999</v>
      </c>
      <c r="F24" s="831">
        <f ca="1">D24*14</f>
        <v>31556</v>
      </c>
      <c r="G24" s="839"/>
      <c r="H24" s="840" t="s">
        <v>313</v>
      </c>
      <c r="I24" s="834">
        <f ca="1">IF(J24="s",ROUNDUP('Losango 30'!T17,0),0)</f>
        <v>2281</v>
      </c>
      <c r="J24" s="929" t="s">
        <v>908</v>
      </c>
      <c r="K24" s="841">
        <f t="shared" ca="1" si="1"/>
        <v>-0.36131999999999997</v>
      </c>
      <c r="L24" s="831">
        <f ca="1">I24*14</f>
        <v>31934</v>
      </c>
      <c r="M24" s="839"/>
      <c r="N24" s="842" t="s">
        <v>314</v>
      </c>
      <c r="O24" s="929" t="s">
        <v>908</v>
      </c>
      <c r="P24" s="909">
        <f ca="1">IF(O24="s",ROUNDUP('Losango 60'!T17,0),0)</f>
        <v>2340</v>
      </c>
      <c r="Q24" s="916">
        <f ca="1">(R24+$D$5)/$G$5-1</f>
        <v>-0.3448</v>
      </c>
      <c r="R24" s="911">
        <f ca="1">P24*14</f>
        <v>32760</v>
      </c>
      <c r="S24" s="917"/>
      <c r="T24" s="840" t="s">
        <v>315</v>
      </c>
      <c r="U24" s="929" t="s">
        <v>908</v>
      </c>
      <c r="V24" s="913">
        <f ca="1">IF(U24="s",ROUNDUP('Losango 90'!T17,0),0)</f>
        <v>2401</v>
      </c>
      <c r="W24" s="918">
        <f t="shared" ca="1" si="2"/>
        <v>-0.32772000000000001</v>
      </c>
      <c r="X24" s="915">
        <f ca="1">V24*14</f>
        <v>33614</v>
      </c>
    </row>
    <row r="25" spans="2:24" ht="12.5">
      <c r="B25" s="837" t="s">
        <v>316</v>
      </c>
      <c r="C25" s="929" t="s">
        <v>908</v>
      </c>
      <c r="D25" s="829">
        <f ca="1">IF(C25="s",ROUNDUP('Losango 30'!Y18,0),0)</f>
        <v>2129</v>
      </c>
      <c r="E25" s="838">
        <f t="shared" ca="1" si="3"/>
        <v>-0.36129999999999995</v>
      </c>
      <c r="F25" s="831">
        <f ca="1">D25*15</f>
        <v>31935</v>
      </c>
      <c r="G25" s="839"/>
      <c r="H25" s="840" t="s">
        <v>317</v>
      </c>
      <c r="I25" s="834">
        <f ca="1">IF(J25="s",ROUNDUP('Losango 30'!T18,0),0)</f>
        <v>2155</v>
      </c>
      <c r="J25" s="929" t="s">
        <v>908</v>
      </c>
      <c r="K25" s="841">
        <f t="shared" ca="1" si="1"/>
        <v>-0.35350000000000004</v>
      </c>
      <c r="L25" s="831">
        <f ca="1">I25*15</f>
        <v>32325</v>
      </c>
      <c r="M25" s="839"/>
      <c r="N25" s="842" t="s">
        <v>318</v>
      </c>
      <c r="O25" s="929" t="s">
        <v>908</v>
      </c>
      <c r="P25" s="909">
        <f ca="1">IF(O25="s",ROUNDUP('Losango 60'!T18,0),0)</f>
        <v>2211</v>
      </c>
      <c r="Q25" s="916">
        <f ca="1">(R25+$D$5)/$G$5-1</f>
        <v>-0.3367</v>
      </c>
      <c r="R25" s="911">
        <f ca="1">P25*15</f>
        <v>33165</v>
      </c>
      <c r="S25" s="917"/>
      <c r="T25" s="840" t="s">
        <v>319</v>
      </c>
      <c r="U25" s="929" t="s">
        <v>908</v>
      </c>
      <c r="V25" s="913">
        <f ca="1">IF(U25="s",ROUNDUP('Losango 90'!T18,0),0)</f>
        <v>2268</v>
      </c>
      <c r="W25" s="918">
        <f t="shared" ca="1" si="2"/>
        <v>-0.3196</v>
      </c>
      <c r="X25" s="915">
        <f ca="1">V25*15</f>
        <v>34020</v>
      </c>
    </row>
    <row r="26" spans="2:24" ht="12.5">
      <c r="B26" s="837" t="s">
        <v>320</v>
      </c>
      <c r="C26" s="929" t="s">
        <v>908</v>
      </c>
      <c r="D26" s="829">
        <f ca="1">IF(C26="s",ROUNDUP('Losango 30'!Y19,0),0)</f>
        <v>2020</v>
      </c>
      <c r="E26" s="923">
        <f t="shared" ca="1" si="3"/>
        <v>-0.35360000000000003</v>
      </c>
      <c r="F26" s="831">
        <f ca="1">D26*16</f>
        <v>32320</v>
      </c>
      <c r="G26" s="917"/>
      <c r="H26" s="840" t="s">
        <v>321</v>
      </c>
      <c r="I26" s="834">
        <f ca="1">IF(J26="s",ROUNDUP('Losango 30'!T19,0),0)</f>
        <v>2045</v>
      </c>
      <c r="J26" s="929" t="s">
        <v>908</v>
      </c>
      <c r="K26" s="918">
        <f t="shared" ca="1" si="1"/>
        <v>-0.34560000000000002</v>
      </c>
      <c r="L26" s="831">
        <f ca="1">I26*16</f>
        <v>32720</v>
      </c>
      <c r="M26" s="839"/>
      <c r="N26" s="842" t="s">
        <v>322</v>
      </c>
      <c r="O26" s="929" t="s">
        <v>908</v>
      </c>
      <c r="P26" s="909">
        <f ca="1">IF(O26="s",ROUNDUP('Losango 60'!T19,0),0)</f>
        <v>2097</v>
      </c>
      <c r="Q26" s="916">
        <f t="shared" ref="Q26:Q46" ca="1" si="5">(R26+$D$5)/$G$7-1</f>
        <v>-0.32896000000000003</v>
      </c>
      <c r="R26" s="911">
        <f ca="1">P26*16</f>
        <v>33552</v>
      </c>
      <c r="S26" s="917"/>
      <c r="T26" s="840" t="s">
        <v>323</v>
      </c>
      <c r="U26" s="929" t="s">
        <v>908</v>
      </c>
      <c r="V26" s="913">
        <f ca="1">IF(U26="s",ROUNDUP('Losango 90'!T19,0),0)</f>
        <v>2152</v>
      </c>
      <c r="W26" s="918">
        <f t="shared" ca="1" si="2"/>
        <v>-0.31135999999999997</v>
      </c>
      <c r="X26" s="915">
        <f ca="1">V26*16</f>
        <v>34432</v>
      </c>
    </row>
    <row r="27" spans="2:24" ht="12.5">
      <c r="B27" s="837" t="s">
        <v>324</v>
      </c>
      <c r="C27" s="929" t="s">
        <v>908</v>
      </c>
      <c r="D27" s="829">
        <f ca="1">IF(C27="s",ROUNDUP('Losango 30'!Y20,0),0)</f>
        <v>1925</v>
      </c>
      <c r="E27" s="923">
        <f t="shared" ca="1" si="3"/>
        <v>-0.34550000000000003</v>
      </c>
      <c r="F27" s="831">
        <f ca="1">D27*17</f>
        <v>32725</v>
      </c>
      <c r="G27" s="917"/>
      <c r="H27" s="840" t="s">
        <v>325</v>
      </c>
      <c r="I27" s="834">
        <f ca="1">IF(J27="s",ROUNDUP('Losango 30'!T20,0),0)</f>
        <v>1947</v>
      </c>
      <c r="J27" s="929" t="s">
        <v>908</v>
      </c>
      <c r="K27" s="918">
        <f t="shared" ca="1" si="1"/>
        <v>-0.33801999999999999</v>
      </c>
      <c r="L27" s="831">
        <f ca="1">I27*17</f>
        <v>33099</v>
      </c>
      <c r="M27" s="839"/>
      <c r="N27" s="842" t="s">
        <v>326</v>
      </c>
      <c r="O27" s="929" t="s">
        <v>908</v>
      </c>
      <c r="P27" s="909">
        <f ca="1">IF(O27="s",ROUNDUP('Losango 60'!T20,0),0)</f>
        <v>1998</v>
      </c>
      <c r="Q27" s="916">
        <f t="shared" ca="1" si="5"/>
        <v>-0.32067999999999997</v>
      </c>
      <c r="R27" s="911">
        <f ca="1">P27*17</f>
        <v>33966</v>
      </c>
      <c r="S27" s="917"/>
      <c r="T27" s="840" t="s">
        <v>327</v>
      </c>
      <c r="U27" s="929" t="s">
        <v>908</v>
      </c>
      <c r="V27" s="913">
        <f ca="1">IF(U27="s",ROUNDUP('Losango 90'!T20,0),0)</f>
        <v>2049</v>
      </c>
      <c r="W27" s="918">
        <f t="shared" ca="1" si="2"/>
        <v>-0.30334000000000005</v>
      </c>
      <c r="X27" s="915">
        <f ca="1">V27*17</f>
        <v>34833</v>
      </c>
    </row>
    <row r="28" spans="2:24" ht="12.5">
      <c r="B28" s="837" t="s">
        <v>328</v>
      </c>
      <c r="C28" s="929" t="s">
        <v>908</v>
      </c>
      <c r="D28" s="829">
        <f ca="1">IF(C28="s",ROUNDUP('Losango 30'!Y21,0),0)</f>
        <v>1839</v>
      </c>
      <c r="E28" s="923">
        <f t="shared" ca="1" si="3"/>
        <v>-0.33796000000000004</v>
      </c>
      <c r="F28" s="831">
        <f ca="1">D28*18</f>
        <v>33102</v>
      </c>
      <c r="G28" s="917"/>
      <c r="H28" s="840" t="s">
        <v>329</v>
      </c>
      <c r="I28" s="834">
        <f ca="1">IF(J28="s",ROUNDUP('Losango 30'!T21,0),0)</f>
        <v>1861</v>
      </c>
      <c r="J28" s="929" t="s">
        <v>908</v>
      </c>
      <c r="K28" s="918">
        <f t="shared" ca="1" si="1"/>
        <v>-0.33004</v>
      </c>
      <c r="L28" s="831">
        <f ca="1">I28*18</f>
        <v>33498</v>
      </c>
      <c r="M28" s="839"/>
      <c r="N28" s="842" t="s">
        <v>330</v>
      </c>
      <c r="O28" s="929" t="s">
        <v>908</v>
      </c>
      <c r="P28" s="909">
        <f ca="1">IF(O28="s",ROUNDUP('Losango 60'!T21,0),0)</f>
        <v>1909</v>
      </c>
      <c r="Q28" s="916">
        <f t="shared" ca="1" si="5"/>
        <v>-0.31276000000000004</v>
      </c>
      <c r="R28" s="911">
        <f ca="1">P28*18</f>
        <v>34362</v>
      </c>
      <c r="S28" s="917"/>
      <c r="T28" s="840" t="s">
        <v>331</v>
      </c>
      <c r="U28" s="929" t="s">
        <v>908</v>
      </c>
      <c r="V28" s="913">
        <f ca="1">IF(U28="s",ROUNDUP('Losango 90'!T21,0),0)</f>
        <v>1959</v>
      </c>
      <c r="W28" s="918">
        <f t="shared" ca="1" si="2"/>
        <v>-0.29476000000000002</v>
      </c>
      <c r="X28" s="915">
        <f ca="1">V28*18</f>
        <v>35262</v>
      </c>
    </row>
    <row r="29" spans="2:24" ht="12.5">
      <c r="B29" s="837" t="s">
        <v>332</v>
      </c>
      <c r="C29" s="929" t="s">
        <v>908</v>
      </c>
      <c r="D29" s="829">
        <f ca="1">IF(C29="s",ROUNDUP('Losango 30'!Y22,0),0)</f>
        <v>1763</v>
      </c>
      <c r="E29" s="923">
        <f t="shared" ca="1" si="3"/>
        <v>-0.33006000000000002</v>
      </c>
      <c r="F29" s="831">
        <f ca="1">D29*19</f>
        <v>33497</v>
      </c>
      <c r="G29" s="917"/>
      <c r="H29" s="840" t="s">
        <v>333</v>
      </c>
      <c r="I29" s="834">
        <f ca="1">IF(J29="s",ROUNDUP('Losango 30'!T22,0),0)</f>
        <v>1784</v>
      </c>
      <c r="J29" s="929" t="s">
        <v>908</v>
      </c>
      <c r="K29" s="918">
        <f t="shared" ca="1" si="1"/>
        <v>-0.32208000000000003</v>
      </c>
      <c r="L29" s="831">
        <f ca="1">I29*19</f>
        <v>33896</v>
      </c>
      <c r="M29" s="839"/>
      <c r="N29" s="842" t="s">
        <v>334</v>
      </c>
      <c r="O29" s="929" t="s">
        <v>908</v>
      </c>
      <c r="P29" s="909">
        <f ca="1">IF(O29="s",ROUNDUP('Losango 60'!T22,0),0)</f>
        <v>1830</v>
      </c>
      <c r="Q29" s="916">
        <f t="shared" ca="1" si="5"/>
        <v>-0.30459999999999998</v>
      </c>
      <c r="R29" s="911">
        <f ca="1">P29*19</f>
        <v>34770</v>
      </c>
      <c r="S29" s="917"/>
      <c r="T29" s="840" t="s">
        <v>335</v>
      </c>
      <c r="U29" s="929" t="s">
        <v>908</v>
      </c>
      <c r="V29" s="913">
        <f ca="1">IF(U29="s",ROUNDUP('Losango 90'!T22,0),0)</f>
        <v>1878</v>
      </c>
      <c r="W29" s="918">
        <f t="shared" ca="1" si="2"/>
        <v>-0.28635999999999995</v>
      </c>
      <c r="X29" s="915">
        <f ca="1">V29*19</f>
        <v>35682</v>
      </c>
    </row>
    <row r="30" spans="2:24" ht="12.5">
      <c r="B30" s="837" t="s">
        <v>336</v>
      </c>
      <c r="C30" s="929" t="s">
        <v>908</v>
      </c>
      <c r="D30" s="829">
        <f ca="1">IF(C30="s",ROUNDUP('Losango 30'!Y23,0),0)</f>
        <v>1695</v>
      </c>
      <c r="E30" s="923">
        <f t="shared" ca="1" si="3"/>
        <v>-0.32199999999999995</v>
      </c>
      <c r="F30" s="831">
        <f ca="1">D30*20</f>
        <v>33900</v>
      </c>
      <c r="G30" s="917"/>
      <c r="H30" s="840" t="s">
        <v>337</v>
      </c>
      <c r="I30" s="834">
        <f ca="1">IF(J30="s",ROUNDUP('Losango 30'!T23,0),0)</f>
        <v>1715</v>
      </c>
      <c r="J30" s="929" t="s">
        <v>908</v>
      </c>
      <c r="K30" s="918">
        <f t="shared" ca="1" si="1"/>
        <v>-0.31399999999999995</v>
      </c>
      <c r="L30" s="831">
        <f ca="1">I30*20</f>
        <v>34300</v>
      </c>
      <c r="M30" s="839"/>
      <c r="N30" s="842" t="s">
        <v>338</v>
      </c>
      <c r="O30" s="929" t="s">
        <v>908</v>
      </c>
      <c r="P30" s="909">
        <f ca="1">IF(O30="s",ROUNDUP('Losango 60'!T23,0),0)</f>
        <v>1759</v>
      </c>
      <c r="Q30" s="916">
        <f t="shared" ca="1" si="5"/>
        <v>-0.2964</v>
      </c>
      <c r="R30" s="911">
        <f ca="1">P30*20</f>
        <v>35180</v>
      </c>
      <c r="S30" s="917"/>
      <c r="T30" s="840" t="s">
        <v>339</v>
      </c>
      <c r="U30" s="929" t="s">
        <v>908</v>
      </c>
      <c r="V30" s="913">
        <f ca="1">IF(U30="s",ROUNDUP('Losango 90'!T23,0),0)</f>
        <v>1805</v>
      </c>
      <c r="W30" s="918">
        <f t="shared" ca="1" si="2"/>
        <v>-0.27800000000000002</v>
      </c>
      <c r="X30" s="915">
        <f ca="1">V30*20</f>
        <v>36100</v>
      </c>
    </row>
    <row r="31" spans="2:24" ht="12.5">
      <c r="B31" s="837" t="s">
        <v>340</v>
      </c>
      <c r="C31" s="929" t="s">
        <v>908</v>
      </c>
      <c r="D31" s="829">
        <f ca="1">IF(C31="s",ROUNDUP('Losango 30'!Y24,0),0)</f>
        <v>1634</v>
      </c>
      <c r="E31" s="923">
        <f t="shared" ca="1" si="3"/>
        <v>-0.31372</v>
      </c>
      <c r="F31" s="831">
        <f ca="1">D31*21</f>
        <v>34314</v>
      </c>
      <c r="G31" s="917"/>
      <c r="H31" s="840" t="s">
        <v>341</v>
      </c>
      <c r="I31" s="834">
        <f ca="1">IF(J31="s",ROUNDUP('Losango 30'!T24,0),0)</f>
        <v>1653</v>
      </c>
      <c r="J31" s="929" t="s">
        <v>908</v>
      </c>
      <c r="K31" s="918">
        <f t="shared" ca="1" si="1"/>
        <v>-0.30574000000000001</v>
      </c>
      <c r="L31" s="831">
        <f ca="1">I31*21</f>
        <v>34713</v>
      </c>
      <c r="M31" s="839"/>
      <c r="N31" s="842" t="s">
        <v>342</v>
      </c>
      <c r="O31" s="929" t="s">
        <v>908</v>
      </c>
      <c r="P31" s="909">
        <f ca="1">IF(O31="s",ROUNDUP('Losango 60'!T24,0),0)</f>
        <v>1695</v>
      </c>
      <c r="Q31" s="916">
        <f t="shared" ca="1" si="5"/>
        <v>-0.28810000000000002</v>
      </c>
      <c r="R31" s="911">
        <f ca="1">P31*21</f>
        <v>35595</v>
      </c>
      <c r="S31" s="917"/>
      <c r="T31" s="840" t="s">
        <v>343</v>
      </c>
      <c r="U31" s="929" t="s">
        <v>908</v>
      </c>
      <c r="V31" s="913">
        <f ca="1">IF(U31="s",ROUNDUP('Losango 90'!T24,0),0)</f>
        <v>1739</v>
      </c>
      <c r="W31" s="918">
        <f t="shared" ca="1" si="2"/>
        <v>-0.26961999999999997</v>
      </c>
      <c r="X31" s="915">
        <f ca="1">V31*21</f>
        <v>36519</v>
      </c>
    </row>
    <row r="32" spans="2:24" ht="12.5">
      <c r="B32" s="837" t="s">
        <v>344</v>
      </c>
      <c r="C32" s="929" t="s">
        <v>908</v>
      </c>
      <c r="D32" s="829">
        <f ca="1">IF(C32="s",ROUNDUP('Losango 30'!Y25,0),0)</f>
        <v>1578</v>
      </c>
      <c r="E32" s="923">
        <f t="shared" ca="1" si="3"/>
        <v>-0.30567999999999995</v>
      </c>
      <c r="F32" s="831">
        <f ca="1">D32*22</f>
        <v>34716</v>
      </c>
      <c r="G32" s="917"/>
      <c r="H32" s="840" t="s">
        <v>345</v>
      </c>
      <c r="I32" s="834">
        <f ca="1">IF(J32="s",ROUNDUP('Losango 30'!T25,0),0)</f>
        <v>1596</v>
      </c>
      <c r="J32" s="929" t="s">
        <v>908</v>
      </c>
      <c r="K32" s="918">
        <f t="shared" ca="1" si="1"/>
        <v>-0.29776000000000002</v>
      </c>
      <c r="L32" s="831">
        <f ca="1">I32*22</f>
        <v>35112</v>
      </c>
      <c r="M32" s="839"/>
      <c r="N32" s="842" t="s">
        <v>346</v>
      </c>
      <c r="O32" s="929" t="s">
        <v>908</v>
      </c>
      <c r="P32" s="909">
        <f ca="1">IF(O32="s",ROUNDUP('Losango 60'!T25,0),0)</f>
        <v>1637</v>
      </c>
      <c r="Q32" s="916">
        <f t="shared" ca="1" si="5"/>
        <v>-0.27971999999999997</v>
      </c>
      <c r="R32" s="911">
        <f ca="1">P32*22</f>
        <v>36014</v>
      </c>
      <c r="S32" s="917"/>
      <c r="T32" s="840" t="s">
        <v>347</v>
      </c>
      <c r="U32" s="929" t="s">
        <v>908</v>
      </c>
      <c r="V32" s="913">
        <f ca="1">IF(U32="s",ROUNDUP('Losango 90'!T25,0),0)</f>
        <v>1680</v>
      </c>
      <c r="W32" s="918">
        <f t="shared" ca="1" si="2"/>
        <v>-0.26080000000000003</v>
      </c>
      <c r="X32" s="915">
        <f ca="1">V32*22</f>
        <v>36960</v>
      </c>
    </row>
    <row r="33" spans="2:24" ht="12.5">
      <c r="B33" s="837" t="s">
        <v>348</v>
      </c>
      <c r="C33" s="929" t="s">
        <v>908</v>
      </c>
      <c r="D33" s="829">
        <f ca="1">IF(C33="s",ROUNDUP('Losango 30'!Y26,0),0)</f>
        <v>1527</v>
      </c>
      <c r="E33" s="923">
        <f t="shared" ca="1" si="3"/>
        <v>-0.29757999999999996</v>
      </c>
      <c r="F33" s="831">
        <f ca="1">D33*23</f>
        <v>35121</v>
      </c>
      <c r="G33" s="917"/>
      <c r="H33" s="840" t="s">
        <v>349</v>
      </c>
      <c r="I33" s="834">
        <f ca="1">IF(J33="s",ROUNDUP('Losango 30'!T26,0),0)</f>
        <v>1544</v>
      </c>
      <c r="J33" s="929" t="s">
        <v>908</v>
      </c>
      <c r="K33" s="918">
        <f t="shared" ca="1" si="1"/>
        <v>-0.28976000000000002</v>
      </c>
      <c r="L33" s="831">
        <f ca="1">I33*23</f>
        <v>35512</v>
      </c>
      <c r="M33" s="839"/>
      <c r="N33" s="842" t="s">
        <v>350</v>
      </c>
      <c r="O33" s="929" t="s">
        <v>908</v>
      </c>
      <c r="P33" s="909">
        <f ca="1">IF(O33="s",ROUNDUP('Losango 60'!T26,0),0)</f>
        <v>1584</v>
      </c>
      <c r="Q33" s="916">
        <f t="shared" ca="1" si="5"/>
        <v>-0.27136000000000005</v>
      </c>
      <c r="R33" s="911">
        <f ca="1">P33*23</f>
        <v>36432</v>
      </c>
      <c r="S33" s="917"/>
      <c r="T33" s="840" t="s">
        <v>351</v>
      </c>
      <c r="U33" s="929" t="s">
        <v>908</v>
      </c>
      <c r="V33" s="913">
        <f ca="1">IF(U33="s",ROUNDUP('Losango 90'!T26,0),0)</f>
        <v>1625</v>
      </c>
      <c r="W33" s="918">
        <f t="shared" ca="1" si="2"/>
        <v>-0.25249999999999995</v>
      </c>
      <c r="X33" s="915">
        <f ca="1">V33*23</f>
        <v>37375</v>
      </c>
    </row>
    <row r="34" spans="2:24" ht="12.5">
      <c r="B34" s="837" t="s">
        <v>352</v>
      </c>
      <c r="C34" s="929" t="s">
        <v>908</v>
      </c>
      <c r="D34" s="829">
        <f ca="1">IF(C34="s",ROUNDUP('Losango 30'!Y27,0),0)</f>
        <v>1481</v>
      </c>
      <c r="E34" s="923">
        <f t="shared" ca="1" si="3"/>
        <v>-0.28912000000000004</v>
      </c>
      <c r="F34" s="831">
        <f ca="1">D34*24</f>
        <v>35544</v>
      </c>
      <c r="G34" s="917"/>
      <c r="H34" s="840" t="s">
        <v>353</v>
      </c>
      <c r="I34" s="834">
        <f ca="1">IF(J34="s",ROUNDUP('Losango 30'!T27,0),0)</f>
        <v>1497</v>
      </c>
      <c r="J34" s="929" t="s">
        <v>908</v>
      </c>
      <c r="K34" s="918">
        <f t="shared" ca="1" si="1"/>
        <v>-0.28144000000000002</v>
      </c>
      <c r="L34" s="831">
        <f ca="1">I34*24</f>
        <v>35928</v>
      </c>
      <c r="M34" s="839"/>
      <c r="N34" s="842" t="s">
        <v>354</v>
      </c>
      <c r="O34" s="929" t="s">
        <v>908</v>
      </c>
      <c r="P34" s="909">
        <f ca="1">IF(O34="s",ROUNDUP('Losango 60'!T27,0),0)</f>
        <v>1536</v>
      </c>
      <c r="Q34" s="916">
        <f t="shared" ca="1" si="5"/>
        <v>-0.26271999999999995</v>
      </c>
      <c r="R34" s="911">
        <f ca="1">P34*24</f>
        <v>36864</v>
      </c>
      <c r="S34" s="917"/>
      <c r="T34" s="840" t="s">
        <v>355</v>
      </c>
      <c r="U34" s="929" t="s">
        <v>908</v>
      </c>
      <c r="V34" s="913">
        <f ca="1">IF(U34="s",ROUNDUP('Losango 90'!T27,0),0)</f>
        <v>1575</v>
      </c>
      <c r="W34" s="918">
        <f t="shared" ca="1" si="2"/>
        <v>-0.24399999999999999</v>
      </c>
      <c r="X34" s="915">
        <f ca="1">V34*24</f>
        <v>37800</v>
      </c>
    </row>
    <row r="35" spans="2:24" ht="12.5">
      <c r="B35" s="837" t="s">
        <v>356</v>
      </c>
      <c r="C35" s="929" t="s">
        <v>908</v>
      </c>
      <c r="D35" s="829">
        <f ca="1">IF(C35="s",ROUNDUP('Losango 30'!Y28,0),0)</f>
        <v>1438</v>
      </c>
      <c r="E35" s="923">
        <f t="shared" ca="1" si="3"/>
        <v>-0.28100000000000003</v>
      </c>
      <c r="F35" s="831">
        <f ca="1">D35*25</f>
        <v>35950</v>
      </c>
      <c r="G35" s="917"/>
      <c r="H35" s="840" t="s">
        <v>357</v>
      </c>
      <c r="I35" s="834">
        <f ca="1">IF(J35="s",ROUNDUP('Losango 30'!T28,0),0)</f>
        <v>1454</v>
      </c>
      <c r="J35" s="929" t="s">
        <v>908</v>
      </c>
      <c r="K35" s="918">
        <f t="shared" ca="1" si="1"/>
        <v>-0.27300000000000002</v>
      </c>
      <c r="L35" s="831">
        <f ca="1">I35*25</f>
        <v>36350</v>
      </c>
      <c r="M35" s="839"/>
      <c r="N35" s="842" t="s">
        <v>358</v>
      </c>
      <c r="O35" s="929" t="s">
        <v>908</v>
      </c>
      <c r="P35" s="909">
        <f ca="1">IF(O35="s",ROUNDUP('Losango 60'!T28,0),0)</f>
        <v>1491</v>
      </c>
      <c r="Q35" s="916">
        <f t="shared" ca="1" si="5"/>
        <v>-0.25449999999999995</v>
      </c>
      <c r="R35" s="911">
        <f ca="1">P35*25</f>
        <v>37275</v>
      </c>
      <c r="S35" s="917"/>
      <c r="T35" s="840" t="s">
        <v>359</v>
      </c>
      <c r="U35" s="929" t="s">
        <v>908</v>
      </c>
      <c r="V35" s="913">
        <f ca="1">IF(U35="s",ROUNDUP('Losango 90'!T28,0),0)</f>
        <v>1530</v>
      </c>
      <c r="W35" s="918">
        <f t="shared" ca="1" si="2"/>
        <v>-0.23499999999999999</v>
      </c>
      <c r="X35" s="915">
        <f ca="1">V35*25</f>
        <v>38250</v>
      </c>
    </row>
    <row r="36" spans="2:24" ht="12.5">
      <c r="B36" s="837" t="s">
        <v>360</v>
      </c>
      <c r="C36" s="929" t="s">
        <v>908</v>
      </c>
      <c r="D36" s="829">
        <f ca="1">IF(C36="s",ROUNDUP('Losango 30'!Y29,0),0)</f>
        <v>1399</v>
      </c>
      <c r="E36" s="923">
        <f t="shared" ca="1" si="3"/>
        <v>-0.27251999999999998</v>
      </c>
      <c r="F36" s="831">
        <f ca="1">D36*26</f>
        <v>36374</v>
      </c>
      <c r="G36" s="917"/>
      <c r="H36" s="840" t="s">
        <v>361</v>
      </c>
      <c r="I36" s="834">
        <f ca="1">IF(J36="s",ROUNDUP('Losango 30'!T29,0),0)</f>
        <v>1414</v>
      </c>
      <c r="J36" s="929" t="s">
        <v>908</v>
      </c>
      <c r="K36" s="918">
        <f t="shared" ca="1" si="1"/>
        <v>-0.26471999999999996</v>
      </c>
      <c r="L36" s="831">
        <f ca="1">I36*26</f>
        <v>36764</v>
      </c>
      <c r="M36" s="839"/>
      <c r="N36" s="842" t="s">
        <v>362</v>
      </c>
      <c r="O36" s="929" t="s">
        <v>908</v>
      </c>
      <c r="P36" s="909">
        <f ca="1">IF(O36="s",ROUNDUP('Losango 60'!T29,0),0)</f>
        <v>1450</v>
      </c>
      <c r="Q36" s="916">
        <f t="shared" ca="1" si="5"/>
        <v>-0.246</v>
      </c>
      <c r="R36" s="911">
        <f ca="1">P36*26</f>
        <v>37700</v>
      </c>
      <c r="S36" s="917"/>
      <c r="T36" s="840" t="s">
        <v>363</v>
      </c>
      <c r="U36" s="929" t="s">
        <v>908</v>
      </c>
      <c r="V36" s="913">
        <f ca="1">IF(U36="s",ROUNDUP('Losango 90'!T29,0),0)</f>
        <v>1488</v>
      </c>
      <c r="W36" s="918">
        <f t="shared" ca="1" si="2"/>
        <v>-0.22624</v>
      </c>
      <c r="X36" s="915">
        <f ca="1">V36*26</f>
        <v>38688</v>
      </c>
    </row>
    <row r="37" spans="2:24" ht="12.5">
      <c r="B37" s="837" t="s">
        <v>364</v>
      </c>
      <c r="C37" s="929" t="s">
        <v>908</v>
      </c>
      <c r="D37" s="829">
        <f ca="1">IF(C37="s",ROUNDUP('Losango 30'!Y30,0),0)</f>
        <v>1362</v>
      </c>
      <c r="E37" s="923">
        <f t="shared" ca="1" si="3"/>
        <v>-0.26451999999999998</v>
      </c>
      <c r="F37" s="831">
        <f ca="1">D37*27</f>
        <v>36774</v>
      </c>
      <c r="G37" s="917"/>
      <c r="H37" s="840" t="s">
        <v>365</v>
      </c>
      <c r="I37" s="834">
        <f ca="1">IF(J37="s",ROUNDUP('Losango 30'!T30,0),0)</f>
        <v>1377</v>
      </c>
      <c r="J37" s="929" t="s">
        <v>908</v>
      </c>
      <c r="K37" s="918">
        <f t="shared" ca="1" si="1"/>
        <v>-0.25641999999999998</v>
      </c>
      <c r="L37" s="831">
        <f ca="1">I37*27</f>
        <v>37179</v>
      </c>
      <c r="M37" s="839"/>
      <c r="N37" s="842" t="s">
        <v>366</v>
      </c>
      <c r="O37" s="929" t="s">
        <v>908</v>
      </c>
      <c r="P37" s="909">
        <f ca="1">IF(O37="s",ROUNDUP('Losango 60'!T30,0),0)</f>
        <v>1413</v>
      </c>
      <c r="Q37" s="916">
        <f t="shared" ca="1" si="5"/>
        <v>-0.23697999999999997</v>
      </c>
      <c r="R37" s="911">
        <f ca="1">P37*27</f>
        <v>38151</v>
      </c>
      <c r="S37" s="917"/>
      <c r="T37" s="840" t="s">
        <v>367</v>
      </c>
      <c r="U37" s="929" t="s">
        <v>908</v>
      </c>
      <c r="V37" s="913">
        <f ca="1">IF(U37="s",ROUNDUP('Losango 90'!T30,0),0)</f>
        <v>1449</v>
      </c>
      <c r="W37" s="918">
        <f t="shared" ca="1" si="2"/>
        <v>-0.21753999999999996</v>
      </c>
      <c r="X37" s="915">
        <f ca="1">V37*27</f>
        <v>39123</v>
      </c>
    </row>
    <row r="38" spans="2:24" ht="12.5">
      <c r="B38" s="837" t="s">
        <v>368</v>
      </c>
      <c r="C38" s="929" t="s">
        <v>908</v>
      </c>
      <c r="D38" s="829">
        <f ca="1">IF(C38="s",ROUNDUP('Losango 30'!Y31,0),0)</f>
        <v>1329</v>
      </c>
      <c r="E38" s="923">
        <f t="shared" ca="1" si="3"/>
        <v>-0.25575999999999999</v>
      </c>
      <c r="F38" s="831">
        <f ca="1">D38*28</f>
        <v>37212</v>
      </c>
      <c r="G38" s="917"/>
      <c r="H38" s="840" t="s">
        <v>369</v>
      </c>
      <c r="I38" s="834">
        <f ca="1">IF(J38="s",ROUNDUP('Losango 30'!T31,0),0)</f>
        <v>1343</v>
      </c>
      <c r="J38" s="929" t="s">
        <v>908</v>
      </c>
      <c r="K38" s="918">
        <f t="shared" ca="1" si="1"/>
        <v>-0.24792000000000003</v>
      </c>
      <c r="L38" s="831">
        <f ca="1">I38*28</f>
        <v>37604</v>
      </c>
      <c r="M38" s="839"/>
      <c r="N38" s="842" t="s">
        <v>370</v>
      </c>
      <c r="O38" s="929" t="s">
        <v>908</v>
      </c>
      <c r="P38" s="909">
        <f ca="1">IF(O38="s",ROUNDUP('Losango 60'!T31,0),0)</f>
        <v>1378</v>
      </c>
      <c r="Q38" s="916">
        <f t="shared" ca="1" si="5"/>
        <v>-0.22831999999999997</v>
      </c>
      <c r="R38" s="911">
        <f ca="1">P38*28</f>
        <v>38584</v>
      </c>
      <c r="S38" s="917"/>
      <c r="T38" s="840" t="s">
        <v>371</v>
      </c>
      <c r="U38" s="929" t="s">
        <v>908</v>
      </c>
      <c r="V38" s="913">
        <f ca="1">IF(U38="s",ROUNDUP('Losango 90'!T31,0),0)</f>
        <v>1413</v>
      </c>
      <c r="W38" s="918">
        <f t="shared" ca="1" si="2"/>
        <v>-0.20872000000000002</v>
      </c>
      <c r="X38" s="915">
        <f ca="1">V38*28</f>
        <v>39564</v>
      </c>
    </row>
    <row r="39" spans="2:24" ht="12.5">
      <c r="B39" s="837" t="s">
        <v>372</v>
      </c>
      <c r="C39" s="929" t="s">
        <v>908</v>
      </c>
      <c r="D39" s="829">
        <f ca="1">IF(C39="s",ROUNDUP('Losango 30'!Y32,0),0)</f>
        <v>1298</v>
      </c>
      <c r="E39" s="923">
        <f t="shared" ca="1" si="3"/>
        <v>-0.24716000000000005</v>
      </c>
      <c r="F39" s="831">
        <f ca="1">D39*29</f>
        <v>37642</v>
      </c>
      <c r="G39" s="917"/>
      <c r="H39" s="840" t="s">
        <v>373</v>
      </c>
      <c r="I39" s="834">
        <f ca="1">IF(J39="s",ROUNDUP('Losango 30'!T32,0),0)</f>
        <v>1311</v>
      </c>
      <c r="J39" s="929" t="s">
        <v>908</v>
      </c>
      <c r="K39" s="918">
        <f t="shared" ca="1" si="1"/>
        <v>-0.23962000000000006</v>
      </c>
      <c r="L39" s="831">
        <f ca="1">I39*29</f>
        <v>38019</v>
      </c>
      <c r="M39" s="839"/>
      <c r="N39" s="842" t="s">
        <v>374</v>
      </c>
      <c r="O39" s="929" t="s">
        <v>908</v>
      </c>
      <c r="P39" s="909">
        <f ca="1">IF(O39="s",ROUNDUP('Losango 60'!T32,0),0)</f>
        <v>1345</v>
      </c>
      <c r="Q39" s="916">
        <f t="shared" ca="1" si="5"/>
        <v>-0.21989999999999998</v>
      </c>
      <c r="R39" s="911">
        <f ca="1">P39*29</f>
        <v>39005</v>
      </c>
      <c r="S39" s="917"/>
      <c r="T39" s="840" t="s">
        <v>375</v>
      </c>
      <c r="U39" s="929" t="s">
        <v>908</v>
      </c>
      <c r="V39" s="913">
        <f ca="1">IF(U39="s",ROUNDUP('Losango 90'!T32,0),0)</f>
        <v>1380</v>
      </c>
      <c r="W39" s="918">
        <f t="shared" ca="1" si="2"/>
        <v>-0.1996</v>
      </c>
      <c r="X39" s="915">
        <f ca="1">V39*29</f>
        <v>40020</v>
      </c>
    </row>
    <row r="40" spans="2:24" ht="12.5">
      <c r="B40" s="837" t="s">
        <v>376</v>
      </c>
      <c r="C40" s="929" t="s">
        <v>908</v>
      </c>
      <c r="D40" s="829">
        <f ca="1">IF(C40="s",ROUNDUP('Losango 30'!Y33,0),0)</f>
        <v>1269</v>
      </c>
      <c r="E40" s="923">
        <f t="shared" ca="1" si="3"/>
        <v>-0.23860000000000003</v>
      </c>
      <c r="F40" s="831">
        <f ca="1">D40*30</f>
        <v>38070</v>
      </c>
      <c r="G40" s="917"/>
      <c r="H40" s="840" t="s">
        <v>377</v>
      </c>
      <c r="I40" s="834">
        <f ca="1">IF(J40="s",ROUNDUP('Losango 30'!T33,0),0)</f>
        <v>1282</v>
      </c>
      <c r="J40" s="929" t="s">
        <v>908</v>
      </c>
      <c r="K40" s="918">
        <f t="shared" ca="1" si="1"/>
        <v>-0.23080000000000001</v>
      </c>
      <c r="L40" s="831">
        <f ca="1">I40*30</f>
        <v>38460</v>
      </c>
      <c r="M40" s="839"/>
      <c r="N40" s="842" t="s">
        <v>378</v>
      </c>
      <c r="O40" s="929" t="s">
        <v>908</v>
      </c>
      <c r="P40" s="909">
        <f ca="1">IF(O40="s",ROUNDUP('Losango 60'!T33,0),0)</f>
        <v>1315</v>
      </c>
      <c r="Q40" s="916">
        <f t="shared" ca="1" si="5"/>
        <v>-0.21099999999999997</v>
      </c>
      <c r="R40" s="911">
        <f ca="1">P40*30</f>
        <v>39450</v>
      </c>
      <c r="S40" s="917"/>
      <c r="T40" s="840" t="s">
        <v>379</v>
      </c>
      <c r="U40" s="929" t="s">
        <v>908</v>
      </c>
      <c r="V40" s="913">
        <f ca="1">IF(U40="s",ROUNDUP('Losango 90'!T33,0),0)</f>
        <v>1349</v>
      </c>
      <c r="W40" s="918">
        <f t="shared" ca="1" si="2"/>
        <v>-0.19059999999999999</v>
      </c>
      <c r="X40" s="915">
        <f ca="1">V40*30</f>
        <v>40470</v>
      </c>
    </row>
    <row r="41" spans="2:24" ht="12.5">
      <c r="B41" s="837" t="s">
        <v>380</v>
      </c>
      <c r="C41" s="929" t="s">
        <v>908</v>
      </c>
      <c r="D41" s="829">
        <f ca="1">IF(C41="s",ROUNDUP('Losango 30'!Y34,0),0)</f>
        <v>1242</v>
      </c>
      <c r="E41" s="923">
        <f t="shared" ca="1" si="3"/>
        <v>-0.22996000000000005</v>
      </c>
      <c r="F41" s="831">
        <f ca="1">D41*31</f>
        <v>38502</v>
      </c>
      <c r="G41" s="917"/>
      <c r="H41" s="840" t="s">
        <v>381</v>
      </c>
      <c r="I41" s="834">
        <f ca="1">IF(J41="s",ROUNDUP('Losango 30'!T34,0),0)</f>
        <v>1254</v>
      </c>
      <c r="J41" s="929" t="s">
        <v>908</v>
      </c>
      <c r="K41" s="918">
        <f t="shared" ca="1" si="1"/>
        <v>-0.22252000000000005</v>
      </c>
      <c r="L41" s="831">
        <f ca="1">I41*31</f>
        <v>38874</v>
      </c>
      <c r="M41" s="839"/>
      <c r="N41" s="842" t="s">
        <v>382</v>
      </c>
      <c r="O41" s="929" t="s">
        <v>908</v>
      </c>
      <c r="P41" s="909">
        <f ca="1">IF(O41="s",ROUNDUP('Losango 60'!T34,0),0)</f>
        <v>1287</v>
      </c>
      <c r="Q41" s="916">
        <f t="shared" ca="1" si="5"/>
        <v>-0.20206000000000002</v>
      </c>
      <c r="R41" s="911">
        <f ca="1">P41*31</f>
        <v>39897</v>
      </c>
      <c r="S41" s="917"/>
      <c r="T41" s="840" t="s">
        <v>383</v>
      </c>
      <c r="U41" s="929" t="s">
        <v>908</v>
      </c>
      <c r="V41" s="913">
        <f ca="1">IF(U41="s",ROUNDUP('Losango 90'!T34,0),0)</f>
        <v>1320</v>
      </c>
      <c r="W41" s="918">
        <f t="shared" ca="1" si="2"/>
        <v>-0.18159999999999998</v>
      </c>
      <c r="X41" s="915">
        <f ca="1">V41*31</f>
        <v>40920</v>
      </c>
    </row>
    <row r="42" spans="2:24" ht="12.5">
      <c r="B42" s="837" t="s">
        <v>384</v>
      </c>
      <c r="C42" s="929" t="s">
        <v>908</v>
      </c>
      <c r="D42" s="829">
        <f ca="1">IF(C42="s",ROUNDUP('Losango 30'!Y35,0),0)</f>
        <v>1216</v>
      </c>
      <c r="E42" s="923">
        <f t="shared" ca="1" si="3"/>
        <v>-0.22175999999999996</v>
      </c>
      <c r="F42" s="831">
        <f ca="1">D42*32</f>
        <v>38912</v>
      </c>
      <c r="G42" s="917"/>
      <c r="H42" s="840" t="s">
        <v>385</v>
      </c>
      <c r="I42" s="834">
        <f ca="1">IF(J42="s",ROUNDUP('Losango 30'!T35,0),0)</f>
        <v>1229</v>
      </c>
      <c r="J42" s="929" t="s">
        <v>908</v>
      </c>
      <c r="K42" s="918">
        <f t="shared" ca="1" si="1"/>
        <v>-0.21343999999999996</v>
      </c>
      <c r="L42" s="831">
        <f ca="1">I42*32</f>
        <v>39328</v>
      </c>
      <c r="M42" s="839"/>
      <c r="N42" s="842" t="s">
        <v>386</v>
      </c>
      <c r="O42" s="929" t="s">
        <v>908</v>
      </c>
      <c r="P42" s="909">
        <f ca="1">IF(O42="s",ROUNDUP('Losango 60'!T35,0),0)</f>
        <v>1261</v>
      </c>
      <c r="Q42" s="916">
        <f t="shared" ca="1" si="5"/>
        <v>-0.19296000000000002</v>
      </c>
      <c r="R42" s="911">
        <f ca="1">P42*32</f>
        <v>40352</v>
      </c>
      <c r="S42" s="917"/>
      <c r="T42" s="840" t="s">
        <v>387</v>
      </c>
      <c r="U42" s="929" t="s">
        <v>908</v>
      </c>
      <c r="V42" s="913">
        <f ca="1">IF(U42="s",ROUNDUP('Losango 90'!T35,0),0)</f>
        <v>1293</v>
      </c>
      <c r="W42" s="918">
        <f t="shared" ca="1" si="2"/>
        <v>-0.17247999999999997</v>
      </c>
      <c r="X42" s="915">
        <f ca="1">V42*32</f>
        <v>41376</v>
      </c>
    </row>
    <row r="43" spans="2:24" ht="12.5">
      <c r="B43" s="837" t="s">
        <v>388</v>
      </c>
      <c r="C43" s="929" t="s">
        <v>908</v>
      </c>
      <c r="D43" s="829">
        <f ca="1">IF(C43="s",ROUNDUP('Losango 30'!Y36,0),0)</f>
        <v>1193</v>
      </c>
      <c r="E43" s="923">
        <f t="shared" ca="1" si="3"/>
        <v>-0.21262000000000003</v>
      </c>
      <c r="F43" s="831">
        <f ca="1">D43*33</f>
        <v>39369</v>
      </c>
      <c r="G43" s="917"/>
      <c r="H43" s="840" t="s">
        <v>389</v>
      </c>
      <c r="I43" s="834">
        <f ca="1">IF(J43="s",ROUNDUP('Losango 30'!T36,0),0)</f>
        <v>1205</v>
      </c>
      <c r="J43" s="929" t="s">
        <v>908</v>
      </c>
      <c r="K43" s="918">
        <f t="shared" ca="1" si="1"/>
        <v>-0.20469999999999999</v>
      </c>
      <c r="L43" s="831">
        <f ca="1">I43*33</f>
        <v>39765</v>
      </c>
      <c r="M43" s="839"/>
      <c r="N43" s="842" t="s">
        <v>390</v>
      </c>
      <c r="O43" s="929" t="s">
        <v>908</v>
      </c>
      <c r="P43" s="909">
        <f ca="1">IF(O43="s",ROUNDUP('Losango 60'!T36,0),0)</f>
        <v>1236</v>
      </c>
      <c r="Q43" s="916">
        <f t="shared" ca="1" si="5"/>
        <v>-0.18423999999999996</v>
      </c>
      <c r="R43" s="911">
        <f ca="1">P43*33</f>
        <v>40788</v>
      </c>
      <c r="S43" s="917"/>
      <c r="T43" s="840" t="s">
        <v>391</v>
      </c>
      <c r="U43" s="929" t="s">
        <v>908</v>
      </c>
      <c r="V43" s="913">
        <f ca="1">IF(U43="s",ROUNDUP('Losango 90'!T36,0),0)</f>
        <v>1268</v>
      </c>
      <c r="W43" s="918">
        <f t="shared" ca="1" si="2"/>
        <v>-0.16312000000000004</v>
      </c>
      <c r="X43" s="915">
        <f ca="1">V43*33</f>
        <v>41844</v>
      </c>
    </row>
    <row r="44" spans="2:24" thickBot="1">
      <c r="B44" s="837" t="s">
        <v>392</v>
      </c>
      <c r="C44" s="929" t="s">
        <v>908</v>
      </c>
      <c r="D44" s="829">
        <f ca="1">IF(C44="s",ROUNDUP('Losango 30'!Y37,0),0)</f>
        <v>1170</v>
      </c>
      <c r="E44" s="923">
        <f t="shared" ca="1" si="3"/>
        <v>-0.20440000000000003</v>
      </c>
      <c r="F44" s="831">
        <f ca="1">D44*34</f>
        <v>39780</v>
      </c>
      <c r="G44" s="921"/>
      <c r="H44" s="840" t="s">
        <v>393</v>
      </c>
      <c r="I44" s="834">
        <f ca="1">IF(J44="s",ROUNDUP('Losango 30'!T37,0),0)</f>
        <v>1182</v>
      </c>
      <c r="J44" s="929" t="s">
        <v>908</v>
      </c>
      <c r="K44" s="918">
        <f t="shared" ca="1" si="1"/>
        <v>-0.19623999999999997</v>
      </c>
      <c r="L44" s="831">
        <f ca="1">I44*34</f>
        <v>40188</v>
      </c>
      <c r="M44" s="844"/>
      <c r="N44" s="842" t="s">
        <v>394</v>
      </c>
      <c r="O44" s="929" t="s">
        <v>908</v>
      </c>
      <c r="P44" s="909">
        <f ca="1">IF(O44="s",ROUNDUP('Losango 60'!T37,0),0)</f>
        <v>1213</v>
      </c>
      <c r="Q44" s="916">
        <f t="shared" ca="1" si="5"/>
        <v>-0.17515999999999998</v>
      </c>
      <c r="R44" s="911">
        <f ca="1">P44*34</f>
        <v>41242</v>
      </c>
      <c r="S44" s="917"/>
      <c r="T44" s="840" t="s">
        <v>395</v>
      </c>
      <c r="U44" s="929" t="s">
        <v>908</v>
      </c>
      <c r="V44" s="913">
        <f ca="1">IF(U44="s",ROUNDUP('Losango 90'!T37,0),0)</f>
        <v>1244</v>
      </c>
      <c r="W44" s="918">
        <f t="shared" ca="1" si="2"/>
        <v>-0.15407999999999999</v>
      </c>
      <c r="X44" s="915">
        <f ca="1">V44*34</f>
        <v>42296</v>
      </c>
    </row>
    <row r="45" spans="2:24" thickBot="1">
      <c r="B45" s="837" t="s">
        <v>396</v>
      </c>
      <c r="C45" s="929" t="s">
        <v>908</v>
      </c>
      <c r="D45" s="829">
        <f ca="1">IF(C45="s",ROUNDUP('Losango 30'!Y38,0),0)</f>
        <v>1150</v>
      </c>
      <c r="E45" s="923">
        <f t="shared" ca="1" si="3"/>
        <v>-0.19499999999999995</v>
      </c>
      <c r="F45" s="831">
        <f ca="1">D45*35</f>
        <v>40250</v>
      </c>
      <c r="G45" s="917"/>
      <c r="H45" s="840" t="s">
        <v>397</v>
      </c>
      <c r="I45" s="834">
        <f ca="1">IF(J45="s",ROUNDUP('Losango 30'!T38,0),0)</f>
        <v>1161</v>
      </c>
      <c r="J45" s="929" t="s">
        <v>908</v>
      </c>
      <c r="K45" s="918">
        <f t="shared" ca="1" si="1"/>
        <v>-0.18730000000000002</v>
      </c>
      <c r="L45" s="831">
        <f ca="1">I45*35</f>
        <v>40635</v>
      </c>
      <c r="M45" s="844"/>
      <c r="N45" s="842" t="s">
        <v>398</v>
      </c>
      <c r="O45" s="929" t="s">
        <v>908</v>
      </c>
      <c r="P45" s="909">
        <f ca="1">IF(O45="s",ROUNDUP('Losango 60'!T38,0),0)</f>
        <v>1191</v>
      </c>
      <c r="Q45" s="916">
        <f t="shared" ca="1" si="5"/>
        <v>-0.1663</v>
      </c>
      <c r="R45" s="911">
        <f ca="1">P45*35</f>
        <v>41685</v>
      </c>
      <c r="S45" s="917"/>
      <c r="T45" s="840" t="s">
        <v>399</v>
      </c>
      <c r="U45" s="929" t="s">
        <v>908</v>
      </c>
      <c r="V45" s="913">
        <f ca="1">IF(U45="s",ROUNDUP('Losango 90'!T38,0),0)</f>
        <v>1222</v>
      </c>
      <c r="W45" s="918">
        <f t="shared" ca="1" si="2"/>
        <v>-0.14459999999999995</v>
      </c>
      <c r="X45" s="915">
        <f ca="1">V45*35</f>
        <v>42770</v>
      </c>
    </row>
    <row r="46" spans="2:24" thickBot="1">
      <c r="B46" s="828" t="s">
        <v>400</v>
      </c>
      <c r="C46" s="929" t="s">
        <v>908</v>
      </c>
      <c r="D46" s="829">
        <f ca="1">IF(C46="s",ROUNDUP('Losango 30'!Y39,0),0)</f>
        <v>1130</v>
      </c>
      <c r="E46" s="924">
        <f t="shared" ca="1" si="3"/>
        <v>-0.18640000000000001</v>
      </c>
      <c r="F46" s="831">
        <f ca="1">D46*36</f>
        <v>40680</v>
      </c>
      <c r="G46" s="921"/>
      <c r="H46" s="833" t="s">
        <v>401</v>
      </c>
      <c r="I46" s="834">
        <f ca="1">IF(J46="s",ROUNDUP('Losango 30'!T39,0),0)</f>
        <v>1141</v>
      </c>
      <c r="J46" s="929" t="s">
        <v>908</v>
      </c>
      <c r="K46" s="922">
        <f t="shared" ca="1" si="1"/>
        <v>-0.17847999999999997</v>
      </c>
      <c r="L46" s="831">
        <f ca="1">I46*36</f>
        <v>41076</v>
      </c>
      <c r="M46" s="844"/>
      <c r="N46" s="836" t="s">
        <v>402</v>
      </c>
      <c r="O46" s="929" t="s">
        <v>908</v>
      </c>
      <c r="P46" s="909">
        <f ca="1">IF(O46="s",ROUNDUP('Losango 60'!T39,0),0)</f>
        <v>1171</v>
      </c>
      <c r="Q46" s="920">
        <f t="shared" ca="1" si="5"/>
        <v>-0.15688000000000002</v>
      </c>
      <c r="R46" s="911">
        <f ca="1">P46*36</f>
        <v>42156</v>
      </c>
      <c r="S46" s="921"/>
      <c r="T46" s="833" t="s">
        <v>403</v>
      </c>
      <c r="U46" s="929" t="s">
        <v>908</v>
      </c>
      <c r="V46" s="913">
        <f ca="1">IF(U46="s",ROUNDUP('Losango 90'!T39,0),0)</f>
        <v>1201</v>
      </c>
      <c r="W46" s="922">
        <f t="shared" ca="1" si="2"/>
        <v>-0.13527999999999996</v>
      </c>
      <c r="X46" s="915">
        <f ca="1">V46*36</f>
        <v>43236</v>
      </c>
    </row>
    <row r="47" spans="2:24" ht="13.5" thickBot="1">
      <c r="B47" s="851">
        <f>D5</f>
        <v>0</v>
      </c>
      <c r="C47" s="852"/>
      <c r="D47" s="853" t="str">
        <f>'1FComprador'!D35</f>
        <v xml:space="preserve">(0) 1+14=15 X </v>
      </c>
      <c r="E47" s="854">
        <f>VLOOKUP(L8,'14 Pers.'!X3:Y148,2)</f>
        <v>11</v>
      </c>
      <c r="F47" s="855">
        <f ca="1">VLOOKUP(L8,'14 Pers.'!X3:Z148,3)</f>
        <v>2764</v>
      </c>
      <c r="G47" s="852"/>
      <c r="H47" s="855">
        <f>'1FComprador'!G35</f>
        <v>126075</v>
      </c>
      <c r="I47" s="845"/>
      <c r="J47" s="845"/>
      <c r="K47" s="1546" t="str">
        <f>[5]Controle!$C$30</f>
        <v xml:space="preserve">     R E A L I Z A M O S   O   S E U   S O N H O    H O J E !  </v>
      </c>
      <c r="L47" s="1546"/>
      <c r="M47" s="1546"/>
      <c r="N47" s="1546"/>
      <c r="O47" s="1546"/>
      <c r="P47" s="1546"/>
      <c r="Q47" s="1546"/>
      <c r="R47" s="845"/>
      <c r="S47" s="845"/>
      <c r="T47" s="845"/>
      <c r="U47" s="845"/>
      <c r="V47" s="845"/>
      <c r="W47" s="845"/>
      <c r="X47" s="845"/>
    </row>
    <row r="48" spans="2:24" thickBot="1">
      <c r="B48" s="1539" t="str">
        <f>[5]Controle!$C$31</f>
        <v>1) Empresa com Solidez de Mercado</v>
      </c>
      <c r="C48" s="1540"/>
      <c r="D48" s="1540"/>
      <c r="E48" s="1540"/>
      <c r="F48" s="1540"/>
      <c r="G48" s="1541"/>
      <c r="H48" s="1542"/>
      <c r="I48" s="846"/>
      <c r="J48" s="846"/>
      <c r="K48" s="1543" t="str">
        <f>[5]Controle!$F31</f>
        <v>4) Profissionais de Designer</v>
      </c>
      <c r="L48" s="1544"/>
      <c r="M48" s="1544"/>
      <c r="N48" s="1544"/>
      <c r="O48" s="1544"/>
      <c r="P48" s="1544"/>
      <c r="Q48" s="1545"/>
      <c r="R48" s="847"/>
      <c r="S48" s="847"/>
      <c r="T48" s="1543" t="str">
        <f>[5]Controle!$I31</f>
        <v xml:space="preserve">7) Orçamentos Grátis   </v>
      </c>
      <c r="U48" s="1544"/>
      <c r="V48" s="1544"/>
      <c r="W48" s="1544"/>
      <c r="X48" s="1545"/>
    </row>
    <row r="49" spans="2:24" thickBot="1">
      <c r="B49" s="1539" t="str">
        <f>[5]Controle!$C$32</f>
        <v xml:space="preserve">2) Montadores Próprios Especializados </v>
      </c>
      <c r="C49" s="1540"/>
      <c r="D49" s="1540"/>
      <c r="E49" s="1540"/>
      <c r="F49" s="1540"/>
      <c r="G49" s="1541"/>
      <c r="H49" s="1542"/>
      <c r="I49" s="846"/>
      <c r="J49" s="846"/>
      <c r="K49" s="1543" t="str">
        <f>[5]Controle!$F32</f>
        <v xml:space="preserve">5) Projetos Personalizados </v>
      </c>
      <c r="L49" s="1544"/>
      <c r="M49" s="1544"/>
      <c r="N49" s="1544"/>
      <c r="O49" s="1544"/>
      <c r="P49" s="1544"/>
      <c r="Q49" s="1545"/>
      <c r="R49" s="847"/>
      <c r="S49" s="847"/>
      <c r="T49" s="1543" t="str">
        <f>[5]Controle!$I32</f>
        <v>8) Transporte Especializado monitorado na entrega</v>
      </c>
      <c r="U49" s="1544"/>
      <c r="V49" s="1544"/>
      <c r="W49" s="1544"/>
      <c r="X49" s="1545"/>
    </row>
    <row r="50" spans="2:24" thickBot="1">
      <c r="B50" s="1539" t="str">
        <f>[5]Controle!$C$33</f>
        <v>3) Contato direto com a Administração</v>
      </c>
      <c r="C50" s="1540"/>
      <c r="D50" s="1540"/>
      <c r="E50" s="1540"/>
      <c r="F50" s="1540"/>
      <c r="G50" s="1541"/>
      <c r="H50" s="1542"/>
      <c r="I50" s="846"/>
      <c r="J50" s="846"/>
      <c r="K50" s="1547" t="str">
        <f>[5]Controle!$F$33</f>
        <v>6)  Certificado Garantia</v>
      </c>
      <c r="L50" s="1548"/>
      <c r="M50" s="1548"/>
      <c r="N50" s="1548"/>
      <c r="O50" s="1548"/>
      <c r="P50" s="1537" t="s">
        <v>39</v>
      </c>
      <c r="Q50" s="1538"/>
      <c r="R50" s="847"/>
      <c r="S50" s="847"/>
      <c r="T50" s="1543" t="str">
        <f>[5]Controle!$I33</f>
        <v>9) Manutenção da loja em seus móveis</v>
      </c>
      <c r="U50" s="1544"/>
      <c r="V50" s="1544"/>
      <c r="W50" s="1544"/>
      <c r="X50" s="1545"/>
    </row>
    <row r="51" spans="2:24" s="762" customFormat="1" ht="12.75" customHeight="1">
      <c r="B51" s="1535" t="s">
        <v>404</v>
      </c>
      <c r="C51" s="1535"/>
      <c r="D51" s="1535"/>
      <c r="E51" s="1535"/>
      <c r="F51" s="1535"/>
      <c r="G51" s="1535"/>
      <c r="H51" s="1535"/>
      <c r="I51" s="846"/>
      <c r="J51" s="846"/>
      <c r="K51" s="1536" t="s">
        <v>121</v>
      </c>
      <c r="L51" s="1536"/>
      <c r="M51" s="1536"/>
      <c r="N51" s="1536"/>
      <c r="O51" s="1536"/>
      <c r="P51" s="1536"/>
      <c r="Q51" s="1536"/>
      <c r="R51" s="1576" t="str">
        <f>'0F Lj'!D80</f>
        <v xml:space="preserve"> Sistema ByDesigner Desenvolvido Neri (21) 97014-2420</v>
      </c>
      <c r="S51" s="1576"/>
      <c r="T51" s="1576"/>
      <c r="U51" s="1576"/>
      <c r="V51" s="1576"/>
      <c r="W51" s="1576"/>
      <c r="X51" s="1576"/>
    </row>
    <row r="52" spans="2:24">
      <c r="N52" s="6"/>
      <c r="O52" s="6"/>
      <c r="T52" s="7"/>
    </row>
    <row r="53" spans="2:24">
      <c r="F53" s="770"/>
      <c r="G53" s="770"/>
      <c r="H53" s="8"/>
      <c r="J53" s="770"/>
    </row>
    <row r="54" spans="2:24">
      <c r="I54" s="771"/>
    </row>
    <row r="55" spans="2:24">
      <c r="F55" s="772"/>
      <c r="P55" s="1"/>
      <c r="Q55" s="763"/>
      <c r="R55" s="769"/>
    </row>
    <row r="56" spans="2:24">
      <c r="P56" s="1"/>
      <c r="Q56" s="763"/>
      <c r="R56" s="937">
        <v>1</v>
      </c>
    </row>
    <row r="57" spans="2:24">
      <c r="P57" s="8">
        <f ca="1">Q8</f>
        <v>-0.39192000000000005</v>
      </c>
      <c r="Q57" s="763"/>
      <c r="R57" s="770">
        <f ca="1">R56+P57</f>
        <v>0.60807999999999995</v>
      </c>
    </row>
    <row r="58" spans="2:24">
      <c r="P58" s="1"/>
      <c r="Q58" s="763"/>
      <c r="R58" s="8">
        <f ca="1">R56-R57</f>
        <v>0.39192000000000005</v>
      </c>
    </row>
  </sheetData>
  <sheetProtection algorithmName="SHA-512" hashValue="RiJUEr5cD8vbOklkHG2MZZG6wjDSa6u4CRir5nsWGd+fMUdfHoDWA6sCJkLOcAMexddf+7hBgxXjYqGHdgZmxg==" saltValue="wda9TYLBpcdjfKVh/lG/yg==" spinCount="100000" sheet="1" objects="1" scenarios="1"/>
  <mergeCells count="64">
    <mergeCell ref="T1:U1"/>
    <mergeCell ref="R4:S4"/>
    <mergeCell ref="R6:S6"/>
    <mergeCell ref="T6:U6"/>
    <mergeCell ref="V7:X7"/>
    <mergeCell ref="R2:S2"/>
    <mergeCell ref="R7:S7"/>
    <mergeCell ref="T2:X2"/>
    <mergeCell ref="T3:X3"/>
    <mergeCell ref="V4:X4"/>
    <mergeCell ref="T4:U4"/>
    <mergeCell ref="T5:U5"/>
    <mergeCell ref="V6:X6"/>
    <mergeCell ref="R5:S5"/>
    <mergeCell ref="P1:S1"/>
    <mergeCell ref="V5:X5"/>
    <mergeCell ref="B9:D9"/>
    <mergeCell ref="D6:E6"/>
    <mergeCell ref="B2:G2"/>
    <mergeCell ref="M4:O4"/>
    <mergeCell ref="D4:E4"/>
    <mergeCell ref="F4:H4"/>
    <mergeCell ref="G5:H5"/>
    <mergeCell ref="I3:K3"/>
    <mergeCell ref="I4:L4"/>
    <mergeCell ref="B5:C5"/>
    <mergeCell ref="I5:L5"/>
    <mergeCell ref="I8:J8"/>
    <mergeCell ref="M5:O5"/>
    <mergeCell ref="B8:F8"/>
    <mergeCell ref="L7:N7"/>
    <mergeCell ref="B7:C7"/>
    <mergeCell ref="R51:X51"/>
    <mergeCell ref="T9:V9"/>
    <mergeCell ref="T49:X49"/>
    <mergeCell ref="T8:U8"/>
    <mergeCell ref="V8:X8"/>
    <mergeCell ref="T50:X50"/>
    <mergeCell ref="T48:X48"/>
    <mergeCell ref="D7:E7"/>
    <mergeCell ref="K1:N1"/>
    <mergeCell ref="G6:H6"/>
    <mergeCell ref="G7:H7"/>
    <mergeCell ref="B3:H3"/>
    <mergeCell ref="I1:J1"/>
    <mergeCell ref="I7:K7"/>
    <mergeCell ref="I2:O2"/>
    <mergeCell ref="B1:G1"/>
    <mergeCell ref="T7:U7"/>
    <mergeCell ref="V1:W1"/>
    <mergeCell ref="B51:H51"/>
    <mergeCell ref="K51:Q51"/>
    <mergeCell ref="P50:Q50"/>
    <mergeCell ref="B50:H50"/>
    <mergeCell ref="B48:H48"/>
    <mergeCell ref="B49:H49"/>
    <mergeCell ref="K48:Q48"/>
    <mergeCell ref="K49:Q49"/>
    <mergeCell ref="K47:Q47"/>
    <mergeCell ref="K50:O50"/>
    <mergeCell ref="H9:I9"/>
    <mergeCell ref="I6:J6"/>
    <mergeCell ref="N9:P9"/>
    <mergeCell ref="D5:E5"/>
  </mergeCells>
  <phoneticPr fontId="16" type="noConversion"/>
  <dataValidations count="3">
    <dataValidation type="list" allowBlank="1" showInputMessage="1" showErrorMessage="1" sqref="W7:X7 V7:V8" xr:uid="{00000000-0002-0000-0300-000000000000}">
      <formula1>mercadorias</formula1>
    </dataValidation>
    <dataValidation type="list" allowBlank="1" showInputMessage="1" showErrorMessage="1" sqref="L7" xr:uid="{00000000-0002-0000-0300-000001000000}">
      <formula1>vendas</formula1>
    </dataValidation>
    <dataValidation type="list" allowBlank="1" showInputMessage="1" showErrorMessage="1" sqref="P7" xr:uid="{00000000-0002-0000-0300-000002000000}">
      <formula1>descadm</formula1>
    </dataValidation>
  </dataValidations>
  <hyperlinks>
    <hyperlink ref="T2" r:id="rId1" display="www.shopmoveis.com.br" xr:uid="{00000000-0004-0000-0300-000000000000}"/>
  </hyperlinks>
  <printOptions horizontalCentered="1"/>
  <pageMargins left="0.19685039370078741" right="0.19685039370078741" top="0.39370078740157483" bottom="0.19685039370078741" header="0.31496062992125984" footer="0.31496062992125984"/>
  <pageSetup paperSize="9" scale="77" orientation="landscape" horizontalDpi="4294967293" verticalDpi="4294967293" r:id="rId2"/>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4000000}">
          <x14:formula1>
            <xm:f>Listas!$F$1:$F$144</xm:f>
          </x14:formula1>
          <xm:sqref>L8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2">
    <tabColor rgb="FFFF0000"/>
    <pageSetUpPr fitToPage="1"/>
  </sheetPr>
  <dimension ref="B1:R65"/>
  <sheetViews>
    <sheetView showGridLines="0" zoomScale="120" zoomScaleNormal="120" workbookViewId="0">
      <selection activeCell="D12" sqref="D12:I12"/>
    </sheetView>
  </sheetViews>
  <sheetFormatPr defaultColWidth="9.1796875" defaultRowHeight="12.5"/>
  <cols>
    <col min="1" max="1" width="1.26953125" style="3" customWidth="1"/>
    <col min="2" max="2" width="6.1796875" style="3" customWidth="1"/>
    <col min="3" max="3" width="5.1796875" style="3" customWidth="1"/>
    <col min="4" max="4" width="13.81640625" style="3" customWidth="1"/>
    <col min="5" max="5" width="8.1796875" style="3" customWidth="1"/>
    <col min="6" max="6" width="8.26953125" style="3" customWidth="1"/>
    <col min="7" max="7" width="10.81640625" style="3" customWidth="1"/>
    <col min="8" max="8" width="11" style="3" customWidth="1"/>
    <col min="9" max="9" width="8.7265625" style="3" customWidth="1"/>
    <col min="10" max="11" width="10.54296875" style="3" customWidth="1"/>
    <col min="12" max="12" width="14.453125" style="3" customWidth="1"/>
    <col min="13" max="14" width="9.1796875" style="3"/>
    <col min="15" max="15" width="12.26953125" style="3" bestFit="1" customWidth="1"/>
    <col min="16" max="18" width="9.1796875" style="3"/>
    <col min="19" max="19" width="10.1796875" style="3" bestFit="1" customWidth="1"/>
    <col min="20" max="16384" width="9.1796875" style="3"/>
  </cols>
  <sheetData>
    <row r="1" spans="2:15" ht="6.75" customHeight="1" thickBot="1"/>
    <row r="2" spans="2:15" ht="16" thickBot="1">
      <c r="B2" s="1394" t="s">
        <v>123</v>
      </c>
      <c r="C2" s="1395"/>
      <c r="D2" s="1395"/>
      <c r="E2" s="1395"/>
      <c r="F2" s="1395"/>
      <c r="G2" s="1395"/>
      <c r="H2" s="1395"/>
      <c r="I2" s="1395"/>
      <c r="J2" s="1395"/>
      <c r="K2" s="1388" t="str">
        <f>'0F Lj'!F2</f>
        <v>Versão nº 22/07/2025</v>
      </c>
      <c r="L2" s="1389"/>
    </row>
    <row r="3" spans="2:15" ht="13">
      <c r="B3" s="1397" t="s">
        <v>124</v>
      </c>
      <c r="C3" s="1398"/>
      <c r="D3" s="1398"/>
      <c r="E3" s="1400" t="str">
        <f>'0F Lj'!D12</f>
        <v>Razão Social da Loja</v>
      </c>
      <c r="F3" s="1401"/>
      <c r="G3" s="1401"/>
      <c r="H3" s="1401"/>
      <c r="I3" s="1401"/>
      <c r="J3" s="1401"/>
      <c r="K3" s="107" t="s">
        <v>405</v>
      </c>
      <c r="L3" s="108">
        <v>5</v>
      </c>
    </row>
    <row r="4" spans="2:15">
      <c r="B4" s="1403" t="s">
        <v>125</v>
      </c>
      <c r="C4" s="1404"/>
      <c r="D4" s="1404"/>
      <c r="E4" s="1765" t="str">
        <f>'0F Lj'!D13</f>
        <v>Nome Fantasia Loja</v>
      </c>
      <c r="F4" s="1766"/>
      <c r="G4" s="1766"/>
      <c r="H4" s="1766"/>
      <c r="I4" s="1766"/>
      <c r="J4" s="1766"/>
      <c r="K4" s="1749" t="s">
        <v>406</v>
      </c>
      <c r="L4" s="1407"/>
      <c r="N4" s="9"/>
    </row>
    <row r="5" spans="2:15" ht="14">
      <c r="B5" s="1421" t="s">
        <v>127</v>
      </c>
      <c r="C5" s="1404"/>
      <c r="D5" s="1404"/>
      <c r="E5" s="1410" t="str">
        <f>'0F Lj'!D19</f>
        <v>CNPJ da Loja</v>
      </c>
      <c r="F5" s="1411"/>
      <c r="G5" s="1411"/>
      <c r="H5" s="1417" t="str">
        <f>'0F Lj'!F19</f>
        <v>Inscrição da loja</v>
      </c>
      <c r="I5" s="1417"/>
      <c r="J5" s="1417"/>
      <c r="K5" s="1768">
        <f ca="1">TODAY()</f>
        <v>46153</v>
      </c>
      <c r="L5" s="1769"/>
    </row>
    <row r="6" spans="2:15" ht="13">
      <c r="B6" s="1403" t="s">
        <v>128</v>
      </c>
      <c r="C6" s="1404"/>
      <c r="D6" s="1404"/>
      <c r="E6" s="1414" t="str">
        <f>'0F Lj'!D16</f>
        <v>Endereço da Loja</v>
      </c>
      <c r="F6" s="1415"/>
      <c r="G6" s="1415"/>
      <c r="H6" s="1415"/>
      <c r="I6" s="1415"/>
      <c r="J6" s="1415"/>
      <c r="K6" s="1749" t="s">
        <v>129</v>
      </c>
      <c r="L6" s="1407"/>
    </row>
    <row r="7" spans="2:15" ht="14">
      <c r="B7" s="1421" t="s">
        <v>130</v>
      </c>
      <c r="C7" s="1404"/>
      <c r="D7" s="1404"/>
      <c r="E7" s="1421" t="str">
        <f>'0F Lj'!D17</f>
        <v>Bairro da loja</v>
      </c>
      <c r="F7" s="1422"/>
      <c r="G7" s="1422"/>
      <c r="H7" s="1422" t="str">
        <f>'0F Lj'!F21</f>
        <v>Fone</v>
      </c>
      <c r="I7" s="1422"/>
      <c r="J7" s="1422"/>
      <c r="K7" s="1767">
        <f ca="1">TODAY()</f>
        <v>46153</v>
      </c>
      <c r="L7" s="1420"/>
    </row>
    <row r="8" spans="2:15">
      <c r="B8" s="1403" t="s">
        <v>131</v>
      </c>
      <c r="C8" s="1404"/>
      <c r="D8" s="1404"/>
      <c r="E8" s="1421" t="str">
        <f>'0F Lj'!D23</f>
        <v>E-mail da Loja</v>
      </c>
      <c r="F8" s="1422"/>
      <c r="G8" s="1422"/>
      <c r="H8" s="1422"/>
      <c r="I8" s="1422"/>
      <c r="J8" s="1422"/>
      <c r="K8" s="292" t="s">
        <v>18</v>
      </c>
      <c r="L8" s="291">
        <v>1</v>
      </c>
    </row>
    <row r="9" spans="2:15" ht="13" thickBot="1">
      <c r="B9" s="1375" t="str">
        <f>'3Orçto'!D4</f>
        <v>Vendedor 1</v>
      </c>
      <c r="C9" s="1376"/>
      <c r="D9" s="1376"/>
      <c r="E9" s="1375" t="str">
        <f>'3Orçto'!B1</f>
        <v>Vendedor(a) Projetista : Vendedor 1</v>
      </c>
      <c r="F9" s="1376"/>
      <c r="G9" s="1376"/>
      <c r="H9" s="1376"/>
      <c r="I9" s="1376"/>
      <c r="J9" s="1376"/>
      <c r="K9" s="1753" t="str">
        <f>'0F Lj'!F15</f>
        <v>Local da loja</v>
      </c>
      <c r="L9" s="1409"/>
    </row>
    <row r="10" spans="2:15">
      <c r="B10" s="295"/>
      <c r="C10" s="296"/>
      <c r="D10" s="296"/>
      <c r="E10" s="296"/>
      <c r="F10" s="296"/>
      <c r="G10" s="296"/>
      <c r="H10" s="296"/>
      <c r="I10" s="296"/>
      <c r="J10" s="296"/>
      <c r="K10" s="296"/>
      <c r="L10" s="297"/>
      <c r="M10" s="22"/>
    </row>
    <row r="11" spans="2:15">
      <c r="B11" s="1663" t="s">
        <v>132</v>
      </c>
      <c r="C11" s="1663"/>
      <c r="D11" s="1663"/>
      <c r="E11" s="1663"/>
      <c r="F11" s="1663"/>
      <c r="G11" s="1663"/>
      <c r="H11" s="1663"/>
      <c r="I11" s="1663"/>
      <c r="J11" s="294" t="s">
        <v>133</v>
      </c>
      <c r="K11" s="1664" t="str">
        <f>IF('1FComprador'!K11&lt;&gt;"",'1FComprador'!K11,"")</f>
        <v/>
      </c>
      <c r="L11" s="1665"/>
    </row>
    <row r="12" spans="2:15" ht="15" customHeight="1">
      <c r="B12" s="1380" t="s">
        <v>135</v>
      </c>
      <c r="C12" s="1381"/>
      <c r="D12" s="1754"/>
      <c r="E12" s="1755"/>
      <c r="F12" s="1755"/>
      <c r="G12" s="1755"/>
      <c r="H12" s="1755"/>
      <c r="I12" s="1756"/>
      <c r="J12" s="294" t="s">
        <v>407</v>
      </c>
      <c r="K12" s="1757" t="str">
        <f>IF('1FComprador'!K12&lt;&gt;"",'1FComprador'!K12,"")</f>
        <v/>
      </c>
      <c r="L12" s="1758"/>
    </row>
    <row r="13" spans="2:15">
      <c r="B13" s="1698"/>
      <c r="C13" s="1699"/>
      <c r="D13" s="1699"/>
      <c r="E13" s="1699"/>
      <c r="F13" s="1699"/>
      <c r="G13" s="1699"/>
      <c r="H13" s="1699"/>
      <c r="I13" s="1699"/>
      <c r="J13" s="1699"/>
      <c r="K13" s="1699"/>
      <c r="L13" s="1700"/>
      <c r="O13" s="23"/>
    </row>
    <row r="14" spans="2:15" ht="15" customHeight="1">
      <c r="B14" s="1288" t="s">
        <v>137</v>
      </c>
      <c r="C14" s="1289"/>
      <c r="D14" s="1290"/>
      <c r="E14" s="1652" t="str">
        <f>IF('1FComprador'!E14&lt;&gt;"",'1FComprador'!E14,"")</f>
        <v/>
      </c>
      <c r="F14" s="1653"/>
      <c r="G14" s="290" t="s">
        <v>138</v>
      </c>
      <c r="H14" s="691" t="str">
        <f>IF('1FComprador'!H14&lt;&gt;"",'1FComprador'!H14,"")</f>
        <v/>
      </c>
      <c r="I14" s="290" t="s">
        <v>139</v>
      </c>
      <c r="J14" s="315" t="str">
        <f>IF('1FComprador'!J14&lt;&gt;"",'1FComprador'!J14,"")</f>
        <v xml:space="preserve"> </v>
      </c>
      <c r="K14" s="293" t="s">
        <v>140</v>
      </c>
      <c r="L14" s="316" t="str">
        <f>IF('1FComprador'!L14&lt;&gt;"",'1FComprador'!L14,"")</f>
        <v xml:space="preserve"> </v>
      </c>
    </row>
    <row r="15" spans="2:15">
      <c r="B15" s="1750" t="s">
        <v>408</v>
      </c>
      <c r="C15" s="1751"/>
      <c r="D15" s="1751"/>
      <c r="E15" s="1751"/>
      <c r="F15" s="1751"/>
      <c r="G15" s="1751"/>
      <c r="H15" s="1751"/>
      <c r="I15" s="1751"/>
      <c r="J15" s="1751"/>
      <c r="K15" s="1751"/>
      <c r="L15" s="1752"/>
    </row>
    <row r="16" spans="2:15" ht="15" customHeight="1">
      <c r="B16" s="1288" t="s">
        <v>141</v>
      </c>
      <c r="C16" s="1290"/>
      <c r="D16" s="1654" t="str">
        <f>IF('1FComprador'!D16&lt;&gt;"",'1FComprador'!D16,"")</f>
        <v xml:space="preserve"> </v>
      </c>
      <c r="E16" s="1655"/>
      <c r="F16" s="1655"/>
      <c r="G16" s="1655"/>
      <c r="H16" s="1655"/>
      <c r="I16" s="1655"/>
      <c r="J16" s="1656"/>
      <c r="K16" s="290" t="s">
        <v>142</v>
      </c>
      <c r="L16" s="675" t="str">
        <f>'1FComprador'!L16</f>
        <v>Led</v>
      </c>
    </row>
    <row r="17" spans="2:15">
      <c r="B17" s="1741" t="s">
        <v>408</v>
      </c>
      <c r="C17" s="1742"/>
      <c r="D17" s="1742"/>
      <c r="E17" s="1742"/>
      <c r="F17" s="1742"/>
      <c r="G17" s="1742"/>
      <c r="H17" s="1742"/>
      <c r="I17" s="1742"/>
      <c r="J17" s="1742"/>
      <c r="K17" s="1742"/>
      <c r="L17" s="1743"/>
    </row>
    <row r="18" spans="2:15" ht="15" customHeight="1">
      <c r="B18" s="1288" t="s">
        <v>143</v>
      </c>
      <c r="C18" s="1290"/>
      <c r="D18" s="1652" t="str">
        <f>IF('1FComprador'!D18&lt;&gt;"",'1FComprador'!D18,"")</f>
        <v/>
      </c>
      <c r="E18" s="1300"/>
      <c r="F18" s="1653"/>
      <c r="G18" s="290" t="s">
        <v>144</v>
      </c>
      <c r="H18" s="1652" t="str">
        <f>IF('1FComprador'!H18&lt;&gt;"",'1FComprador'!H18,"")</f>
        <v xml:space="preserve"> Rio de Janeiro</v>
      </c>
      <c r="I18" s="1653"/>
      <c r="J18" s="317" t="str">
        <f>IF('1FComprador'!J18&lt;&gt;"",'1FComprador'!J18,"")</f>
        <v xml:space="preserve"> RJ</v>
      </c>
      <c r="K18" s="289" t="s">
        <v>65</v>
      </c>
      <c r="L18" s="339" t="str">
        <f>IF('1FComprador'!L18&lt;&gt;"",'1FComprador'!L18,"")</f>
        <v/>
      </c>
    </row>
    <row r="19" spans="2:15">
      <c r="B19" s="1304" t="s">
        <v>134</v>
      </c>
      <c r="C19" s="1305"/>
      <c r="D19" s="1305"/>
      <c r="E19" s="1305"/>
      <c r="F19" s="1305"/>
      <c r="G19" s="1305"/>
      <c r="H19" s="1305"/>
      <c r="I19" s="1305"/>
      <c r="J19" s="1305"/>
      <c r="K19" s="1305"/>
      <c r="L19" s="1306"/>
    </row>
    <row r="20" spans="2:15" ht="15" customHeight="1">
      <c r="B20" s="1288" t="s">
        <v>147</v>
      </c>
      <c r="C20" s="1290"/>
      <c r="D20" s="692" t="str">
        <f>IF('1FComprador'!D20&lt;&gt;"",'1FComprador'!D20,"")</f>
        <v xml:space="preserve"> </v>
      </c>
      <c r="E20" s="1745" t="str">
        <f>IF('1FComprador'!E20&lt;&gt;"",'1FComprador'!E20,"")</f>
        <v xml:space="preserve"> </v>
      </c>
      <c r="F20" s="1744"/>
      <c r="G20" s="290" t="s">
        <v>148</v>
      </c>
      <c r="H20" s="1746" t="str">
        <f>IF('1FComprador'!H20&lt;&gt;"",'1FComprador'!H20,"")</f>
        <v xml:space="preserve"> </v>
      </c>
      <c r="I20" s="1747"/>
      <c r="J20" s="1747"/>
      <c r="K20" s="1747"/>
      <c r="L20" s="1748"/>
    </row>
    <row r="21" spans="2:15">
      <c r="B21" s="1741" t="s">
        <v>408</v>
      </c>
      <c r="C21" s="1742"/>
      <c r="D21" s="1742"/>
      <c r="E21" s="1742"/>
      <c r="F21" s="1742"/>
      <c r="G21" s="1742"/>
      <c r="H21" s="1742"/>
      <c r="I21" s="1742"/>
      <c r="J21" s="1742"/>
      <c r="K21" s="1742"/>
      <c r="L21" s="1743"/>
    </row>
    <row r="22" spans="2:15" ht="15" customHeight="1">
      <c r="B22" s="1286" t="s">
        <v>149</v>
      </c>
      <c r="C22" s="1287"/>
      <c r="D22" s="1305" t="str">
        <f>IF('1FComprador'!D22&lt;&gt;"",'1FComprador'!D22,"")</f>
        <v xml:space="preserve">ACIMA </v>
      </c>
      <c r="E22" s="1305"/>
      <c r="F22" s="1305"/>
      <c r="G22" s="1305"/>
      <c r="H22" s="1305"/>
      <c r="I22" s="1305"/>
      <c r="J22" s="1744"/>
      <c r="K22" s="298" t="s">
        <v>409</v>
      </c>
      <c r="L22" s="318" t="str">
        <f>IF('1FComprador'!L22&lt;&gt;"",'1FComprador'!L22,"")</f>
        <v>até 40 dias úteis</v>
      </c>
    </row>
    <row r="23" spans="2:15">
      <c r="B23" s="1741" t="s">
        <v>408</v>
      </c>
      <c r="C23" s="1742"/>
      <c r="D23" s="1742"/>
      <c r="E23" s="1742"/>
      <c r="F23" s="1742"/>
      <c r="G23" s="1742"/>
      <c r="H23" s="1742"/>
      <c r="I23" s="1742"/>
      <c r="J23" s="1742"/>
      <c r="K23" s="1742"/>
      <c r="L23" s="1743"/>
    </row>
    <row r="24" spans="2:15" ht="15" customHeight="1">
      <c r="B24" s="1288" t="s">
        <v>143</v>
      </c>
      <c r="C24" s="1290"/>
      <c r="D24" s="1652" t="str">
        <f>IF('1FComprador'!D24&lt;&gt;"",'1FComprador'!D24,"")</f>
        <v xml:space="preserve"> </v>
      </c>
      <c r="E24" s="1300"/>
      <c r="F24" s="1653"/>
      <c r="G24" s="290" t="s">
        <v>144</v>
      </c>
      <c r="H24" s="1652" t="str">
        <f>IF('1FComprador'!H24&lt;&gt;"",'1FComprador'!H24,"")</f>
        <v>Rio de Janeiro</v>
      </c>
      <c r="I24" s="1653"/>
      <c r="J24" s="317" t="str">
        <f>IF('1FComprador'!J24&lt;&gt;"",'1FComprador'!J24,"")</f>
        <v>RJ</v>
      </c>
      <c r="K24" s="289" t="s">
        <v>65</v>
      </c>
      <c r="L24" s="339" t="str">
        <f>IF('1FComprador'!L24&lt;&gt;"",'1FComprador'!L24,"")</f>
        <v/>
      </c>
    </row>
    <row r="25" spans="2:15" ht="13" thickBot="1">
      <c r="B25" s="1729" t="s">
        <v>408</v>
      </c>
      <c r="C25" s="1730"/>
      <c r="D25" s="1730"/>
      <c r="E25" s="1730"/>
      <c r="F25" s="1730"/>
      <c r="G25" s="1730"/>
      <c r="H25" s="1730"/>
      <c r="I25" s="1730"/>
      <c r="J25" s="1730"/>
      <c r="K25" s="1730"/>
      <c r="L25" s="1731"/>
    </row>
    <row r="26" spans="2:15" ht="13" thickBot="1">
      <c r="B26" s="1732" t="s">
        <v>153</v>
      </c>
      <c r="C26" s="1733"/>
      <c r="D26" s="1733"/>
      <c r="E26" s="1733"/>
      <c r="F26" s="1733"/>
      <c r="G26" s="1733"/>
      <c r="H26" s="1733"/>
      <c r="I26" s="1733"/>
      <c r="J26" s="1733"/>
      <c r="K26" s="1733"/>
      <c r="L26" s="1734"/>
    </row>
    <row r="27" spans="2:15" ht="15" customHeight="1" thickBot="1">
      <c r="B27" s="24" t="s">
        <v>154</v>
      </c>
      <c r="C27" s="354" t="s">
        <v>155</v>
      </c>
      <c r="D27" s="1735" t="s">
        <v>410</v>
      </c>
      <c r="E27" s="1735"/>
      <c r="F27" s="1735"/>
      <c r="G27" s="1735"/>
      <c r="H27" s="698" t="s">
        <v>157</v>
      </c>
      <c r="I27" s="1736" t="s">
        <v>158</v>
      </c>
      <c r="J27" s="1737"/>
      <c r="K27" s="1736" t="s">
        <v>159</v>
      </c>
      <c r="L27" s="1737"/>
      <c r="O27" s="9"/>
    </row>
    <row r="28" spans="2:15">
      <c r="B28" s="25">
        <v>1</v>
      </c>
      <c r="C28" s="697">
        <f>IF('1FComprador'!C28&lt;&gt;"",'1FComprador'!C28,"")</f>
        <v>1</v>
      </c>
      <c r="D28" s="1718" t="str">
        <f>IF('1FComprador'!D28&lt;&gt;"",'1FComprador'!D28,"")</f>
        <v>Banheiro Social</v>
      </c>
      <c r="E28" s="1718"/>
      <c r="F28" s="1718"/>
      <c r="G28" s="1718"/>
      <c r="H28" s="379" t="str">
        <f>IF('1FComprador'!H28&lt;&gt;"",'1FComprador'!H28,"")</f>
        <v>até 40 dias úteis</v>
      </c>
      <c r="I28" s="1738">
        <f>IF('1FComprador'!I28&lt;&gt;"",'1FComprador'!I28,"")</f>
        <v>7741</v>
      </c>
      <c r="J28" s="1739"/>
      <c r="K28" s="1738">
        <f>IF('1FComprador'!K28&lt;&gt;"",'1FComprador'!K28,"")</f>
        <v>5596.4090132348556</v>
      </c>
      <c r="L28" s="1740"/>
    </row>
    <row r="29" spans="2:15">
      <c r="B29" s="26">
        <v>2</v>
      </c>
      <c r="C29" s="317">
        <f>IF('1FComprador'!C29&lt;&gt;"",'1FComprador'!C29,"")</f>
        <v>1</v>
      </c>
      <c r="D29" s="1718" t="str">
        <f>IF('1FComprador'!D29&lt;&gt;"",'1FComprador'!D29,"")</f>
        <v>Banheiro Suite</v>
      </c>
      <c r="E29" s="1718"/>
      <c r="F29" s="1718"/>
      <c r="G29" s="1718"/>
      <c r="H29" s="338" t="str">
        <f>IF('1FComprador'!H29&lt;&gt;"",'1FComprador'!H29,"")</f>
        <v>até 40 dias úteis</v>
      </c>
      <c r="I29" s="1726">
        <f>IF('1FComprador'!I29&lt;&gt;"",'1FComprador'!I29,"")</f>
        <v>15324</v>
      </c>
      <c r="J29" s="1727"/>
      <c r="K29" s="1726">
        <f>IF('1FComprador'!K29&lt;&gt;"",'1FComprador'!K29,"")</f>
        <v>11078.590843406655</v>
      </c>
      <c r="L29" s="1728"/>
    </row>
    <row r="30" spans="2:15">
      <c r="B30" s="26">
        <v>3</v>
      </c>
      <c r="C30" s="317">
        <f>IF('1FComprador'!C30&lt;&gt;"",'1FComprador'!C30,"")</f>
        <v>1</v>
      </c>
      <c r="D30" s="1718" t="str">
        <f>IF('1FComprador'!D30&lt;&gt;"",'1FComprador'!D30,"")</f>
        <v>Cozinha e Lavanderia</v>
      </c>
      <c r="E30" s="1718"/>
      <c r="F30" s="1718"/>
      <c r="G30" s="1718"/>
      <c r="H30" s="338" t="str">
        <f>IF('1FComprador'!H30&lt;&gt;"",'1FComprador'!H30,"")</f>
        <v>até 40 dias úteis</v>
      </c>
      <c r="I30" s="1726">
        <f>IF('1FComprador'!I30&lt;&gt;"",'1FComprador'!I30,"")</f>
        <v>82572</v>
      </c>
      <c r="J30" s="1727"/>
      <c r="K30" s="1726">
        <f>IF('1FComprador'!K30&lt;&gt;"",'1FComprador'!K30,"")</f>
        <v>59695.993416978228</v>
      </c>
      <c r="L30" s="1728"/>
    </row>
    <row r="31" spans="2:15">
      <c r="B31" s="26">
        <v>4</v>
      </c>
      <c r="C31" s="317">
        <f>IF('1FComprador'!C31&lt;&gt;"",'1FComprador'!C31,"")</f>
        <v>1</v>
      </c>
      <c r="D31" s="1718" t="str">
        <f>IF('1FComprador'!D31&lt;&gt;"",'1FComprador'!D31,"")</f>
        <v>Sala com Estante Metalon</v>
      </c>
      <c r="E31" s="1718"/>
      <c r="F31" s="1718"/>
      <c r="G31" s="1718"/>
      <c r="H31" s="338" t="str">
        <f>IF('1FComprador'!H31&lt;&gt;"",'1FComprador'!H31,"")</f>
        <v>até 40 dias úteis</v>
      </c>
      <c r="I31" s="1726">
        <f>IF('1FComprador'!I31&lt;&gt;"",'1FComprador'!I31,"")</f>
        <v>68751</v>
      </c>
      <c r="J31" s="1727"/>
      <c r="K31" s="1726">
        <f>IF('1FComprador'!K31&lt;&gt;"",'1FComprador'!K31,"")</f>
        <v>49704.006726380248</v>
      </c>
      <c r="L31" s="1728"/>
    </row>
    <row r="32" spans="2:15">
      <c r="B32" s="26">
        <v>5</v>
      </c>
      <c r="C32" s="317" t="str">
        <f>IF('1FComprador'!C32&lt;&gt;"",'1FComprador'!C32,"")</f>
        <v xml:space="preserve">  </v>
      </c>
      <c r="D32" s="1718" t="str">
        <f>IF('1FComprador'!D32&lt;&gt;"",'1FComprador'!D32,"")</f>
        <v xml:space="preserve">  </v>
      </c>
      <c r="E32" s="1718"/>
      <c r="F32" s="1718"/>
      <c r="G32" s="1718"/>
      <c r="H32" s="338" t="str">
        <f>IF('1FComprador'!H32&lt;&gt;"",'1FComprador'!H32,"")</f>
        <v xml:space="preserve">  </v>
      </c>
      <c r="I32" s="1726" t="str">
        <f>IF('1FComprador'!I32&lt;&gt;"",'1FComprador'!I32,"")</f>
        <v/>
      </c>
      <c r="J32" s="1727"/>
      <c r="K32" s="1726" t="str">
        <f>IF('1FComprador'!K32&lt;&gt;"",'1FComprador'!K32,"")</f>
        <v xml:space="preserve"> </v>
      </c>
      <c r="L32" s="1728"/>
    </row>
    <row r="33" spans="2:15" ht="13" thickBot="1">
      <c r="B33" s="729">
        <v>6</v>
      </c>
      <c r="C33" s="733" t="str">
        <f>IF('1FComprador'!C33&lt;&gt;"",'1FComprador'!C33,"")</f>
        <v xml:space="preserve">  </v>
      </c>
      <c r="D33" s="1718" t="str">
        <f>IF('1FComprador'!D33&lt;&gt;"",'1FComprador'!D33,"")</f>
        <v xml:space="preserve">  </v>
      </c>
      <c r="E33" s="1718"/>
      <c r="F33" s="1718"/>
      <c r="G33" s="1718"/>
      <c r="H33" s="734" t="str">
        <f>IF('1FComprador'!H33&lt;&gt;"",'1FComprador'!H33,"")</f>
        <v xml:space="preserve">  </v>
      </c>
      <c r="I33" s="1719" t="str">
        <f>IF('1FComprador'!I33&lt;&gt;"",'1FComprador'!I33,"")</f>
        <v/>
      </c>
      <c r="J33" s="1720"/>
      <c r="K33" s="1719" t="str">
        <f>IF('1FComprador'!K33&lt;&gt;"",'1FComprador'!K33,"")</f>
        <v xml:space="preserve"> </v>
      </c>
      <c r="L33" s="1721"/>
    </row>
    <row r="34" spans="2:15">
      <c r="B34" s="1722" t="s">
        <v>160</v>
      </c>
      <c r="C34" s="1723"/>
      <c r="D34" s="163" t="s">
        <v>161</v>
      </c>
      <c r="E34" s="163" t="s">
        <v>162</v>
      </c>
      <c r="F34" s="355" t="s">
        <v>163</v>
      </c>
      <c r="G34" s="163" t="s">
        <v>164</v>
      </c>
      <c r="H34" s="356" t="s">
        <v>165</v>
      </c>
      <c r="I34" s="1724">
        <f>'1FComprador'!I34:J34</f>
        <v>174388</v>
      </c>
      <c r="J34" s="1725"/>
      <c r="K34" s="1724">
        <f>'1FComprador'!K34:L34</f>
        <v>126074.99999999999</v>
      </c>
      <c r="L34" s="1725"/>
    </row>
    <row r="35" spans="2:15" ht="13" thickBot="1">
      <c r="B35" s="1708">
        <f>IF('1FComprador'!B35&lt;&gt;"",'1FComprador'!B35,"")</f>
        <v>0</v>
      </c>
      <c r="C35" s="1709"/>
      <c r="D35" s="166" t="str">
        <f>IF('1FComprador'!D35&lt;&gt;"",'1FComprador'!D35,"")</f>
        <v xml:space="preserve">(0) 1+14=15 X </v>
      </c>
      <c r="E35" s="162">
        <f>IF('1FComprador'!E35&lt;&gt;"",'1FComprador'!E35,"")</f>
        <v>15</v>
      </c>
      <c r="F35" s="165">
        <f>'1FComprador'!F35</f>
        <v>8405</v>
      </c>
      <c r="G35" s="164">
        <f>'1FComprador'!G35</f>
        <v>126075</v>
      </c>
      <c r="H35" s="41">
        <f>'1FComprador'!H35</f>
        <v>4</v>
      </c>
      <c r="I35" s="1710">
        <f>'1FComprador'!I35</f>
        <v>0</v>
      </c>
      <c r="J35" s="1711"/>
      <c r="K35" s="1710">
        <f>'1FComprador'!K35</f>
        <v>0</v>
      </c>
      <c r="L35" s="1712"/>
      <c r="O35" s="48"/>
    </row>
    <row r="36" spans="2:15" ht="15.5">
      <c r="B36" s="39" t="s">
        <v>166</v>
      </c>
      <c r="C36" s="1713" t="str">
        <f>IF('1FComprador'!C36&lt;&gt;"",'1FComprador'!C36,"")</f>
        <v xml:space="preserve"> </v>
      </c>
      <c r="D36" s="1714"/>
      <c r="E36" s="1714"/>
      <c r="F36" s="1714"/>
      <c r="G36" s="1715"/>
      <c r="H36" s="1441" t="s">
        <v>167</v>
      </c>
      <c r="I36" s="1442"/>
      <c r="J36" s="40">
        <f>'1FComprador'!J36</f>
        <v>1</v>
      </c>
      <c r="K36" s="1716">
        <f>'1FComprador'!K36:L36</f>
        <v>174388</v>
      </c>
      <c r="L36" s="1717"/>
    </row>
    <row r="37" spans="2:15" ht="15.5">
      <c r="B37" s="1698" t="str">
        <f>IF('1FComprador'!B37&lt;&gt;"",'1FComprador'!B37,"")</f>
        <v/>
      </c>
      <c r="C37" s="1699"/>
      <c r="D37" s="1699"/>
      <c r="E37" s="1699"/>
      <c r="F37" s="1699"/>
      <c r="G37" s="1700"/>
      <c r="H37" s="1701" t="s">
        <v>168</v>
      </c>
      <c r="I37" s="1702"/>
      <c r="J37" s="40">
        <f>'1FComprador'!J37</f>
        <v>-0.2770431451705393</v>
      </c>
      <c r="K37" s="1703">
        <f>'1FComprador'!K37:L37</f>
        <v>-48313</v>
      </c>
      <c r="L37" s="1704"/>
      <c r="O37" s="27"/>
    </row>
    <row r="38" spans="2:15" ht="16" thickBot="1">
      <c r="B38" s="1698" t="str">
        <f>IF('1FComprador'!B38&lt;&gt;"",'1FComprador'!B38,"")</f>
        <v/>
      </c>
      <c r="C38" s="1699"/>
      <c r="D38" s="1699"/>
      <c r="E38" s="1699"/>
      <c r="F38" s="1699"/>
      <c r="G38" s="1700"/>
      <c r="H38" s="1705" t="s">
        <v>169</v>
      </c>
      <c r="I38" s="1374"/>
      <c r="J38" s="40">
        <f>'1FComprador'!J38</f>
        <v>0.7229568548294607</v>
      </c>
      <c r="K38" s="1706">
        <f>'1FComprador'!K38:L38</f>
        <v>126075</v>
      </c>
      <c r="L38" s="1707"/>
      <c r="O38" s="28"/>
    </row>
    <row r="39" spans="2:15" ht="13" thickBot="1">
      <c r="B39" s="24" t="s">
        <v>154</v>
      </c>
      <c r="C39" s="1443" t="s">
        <v>170</v>
      </c>
      <c r="D39" s="1444"/>
      <c r="E39" s="1443" t="s">
        <v>171</v>
      </c>
      <c r="F39" s="1444"/>
      <c r="G39" s="1443" t="s">
        <v>172</v>
      </c>
      <c r="H39" s="1444"/>
      <c r="I39" s="1443" t="s">
        <v>173</v>
      </c>
      <c r="J39" s="1444"/>
      <c r="K39" s="1443" t="s">
        <v>174</v>
      </c>
      <c r="L39" s="1336"/>
    </row>
    <row r="40" spans="2:15">
      <c r="B40" s="46">
        <v>1</v>
      </c>
      <c r="C40" s="1695" t="str">
        <f>IF('1FComprador'!C40&lt;&gt;"",'1FComprador'!C40,"")</f>
        <v xml:space="preserve"> </v>
      </c>
      <c r="D40" s="1696"/>
      <c r="E40" s="1695" t="str">
        <f>IF('1FComprador'!E40&lt;&gt;"",'1FComprador'!E40,"")</f>
        <v xml:space="preserve"> </v>
      </c>
      <c r="F40" s="1696"/>
      <c r="G40" s="1695" t="str">
        <f>IF('1FComprador'!G40&lt;&gt;"",'1FComprador'!G40,"")</f>
        <v xml:space="preserve"> </v>
      </c>
      <c r="H40" s="1696"/>
      <c r="I40" s="1695" t="str">
        <f>IF('1FComprador'!I40&lt;&gt;"",'1FComprador'!I40,"")</f>
        <v xml:space="preserve"> </v>
      </c>
      <c r="J40" s="1696"/>
      <c r="K40" s="1695" t="str">
        <f>IF('1FComprador'!K40&lt;&gt;"",'1FComprador'!K40,"")</f>
        <v xml:space="preserve"> Gold</v>
      </c>
      <c r="L40" s="1697"/>
    </row>
    <row r="41" spans="2:15">
      <c r="B41" s="26">
        <v>2</v>
      </c>
      <c r="C41" s="1692" t="str">
        <f>IF('1FComprador'!C41&lt;&gt;"",'1FComprador'!C41,"")</f>
        <v xml:space="preserve"> </v>
      </c>
      <c r="D41" s="1693"/>
      <c r="E41" s="1692" t="str">
        <f>IF('1FComprador'!E41&lt;&gt;"",'1FComprador'!E41,"")</f>
        <v xml:space="preserve"> </v>
      </c>
      <c r="F41" s="1693"/>
      <c r="G41" s="1692" t="str">
        <f>IF('1FComprador'!G41&lt;&gt;"",'1FComprador'!G41,"")</f>
        <v xml:space="preserve"> </v>
      </c>
      <c r="H41" s="1693"/>
      <c r="I41" s="1692" t="str">
        <f>IF('1FComprador'!I41&lt;&gt;"",'1FComprador'!I41,"")</f>
        <v xml:space="preserve"> </v>
      </c>
      <c r="J41" s="1693"/>
      <c r="K41" s="1692" t="str">
        <f>IF('1FComprador'!K41&lt;&gt;"",'1FComprador'!K41,"")</f>
        <v/>
      </c>
      <c r="L41" s="1694"/>
    </row>
    <row r="42" spans="2:15">
      <c r="B42" s="26">
        <v>3</v>
      </c>
      <c r="C42" s="1692" t="str">
        <f>IF('1FComprador'!C42&lt;&gt;"",'1FComprador'!C42,"")</f>
        <v xml:space="preserve"> </v>
      </c>
      <c r="D42" s="1693"/>
      <c r="E42" s="1692" t="str">
        <f>IF('1FComprador'!E42&lt;&gt;"",'1FComprador'!E42,"")</f>
        <v xml:space="preserve"> </v>
      </c>
      <c r="F42" s="1693"/>
      <c r="G42" s="1692" t="str">
        <f>IF('1FComprador'!G42&lt;&gt;"",'1FComprador'!G42,"")</f>
        <v xml:space="preserve"> </v>
      </c>
      <c r="H42" s="1693"/>
      <c r="I42" s="1692" t="str">
        <f>IF('1FComprador'!I42&lt;&gt;"",'1FComprador'!I42,"")</f>
        <v xml:space="preserve"> </v>
      </c>
      <c r="J42" s="1693"/>
      <c r="K42" s="1692" t="str">
        <f>IF('1FComprador'!K42&lt;&gt;"",'1FComprador'!K42,"")</f>
        <v/>
      </c>
      <c r="L42" s="1694"/>
    </row>
    <row r="43" spans="2:15">
      <c r="B43" s="26">
        <v>4</v>
      </c>
      <c r="C43" s="1692" t="str">
        <f>IF('1FComprador'!C43&lt;&gt;"",'1FComprador'!C43,"")</f>
        <v/>
      </c>
      <c r="D43" s="1693"/>
      <c r="E43" s="1692" t="str">
        <f>IF('1FComprador'!E43&lt;&gt;"",'1FComprador'!E43,"")</f>
        <v/>
      </c>
      <c r="F43" s="1693"/>
      <c r="G43" s="1692" t="str">
        <f>IF('1FComprador'!G43&lt;&gt;"",'1FComprador'!G43,"")</f>
        <v/>
      </c>
      <c r="H43" s="1693"/>
      <c r="I43" s="1692" t="str">
        <f>IF('1FComprador'!I43&lt;&gt;"",'1FComprador'!I43,"")</f>
        <v/>
      </c>
      <c r="J43" s="1693"/>
      <c r="K43" s="1692" t="str">
        <f>IF('1FComprador'!K43&lt;&gt;"",'1FComprador'!K43,"")</f>
        <v/>
      </c>
      <c r="L43" s="1694"/>
    </row>
    <row r="44" spans="2:15">
      <c r="B44" s="26">
        <v>5</v>
      </c>
      <c r="C44" s="1692" t="str">
        <f>IF('1FComprador'!C44&lt;&gt;"",'1FComprador'!C44,"")</f>
        <v/>
      </c>
      <c r="D44" s="1693"/>
      <c r="E44" s="1692" t="str">
        <f>IF('1FComprador'!E44&lt;&gt;"",'1FComprador'!E44,"")</f>
        <v/>
      </c>
      <c r="F44" s="1693"/>
      <c r="G44" s="1692" t="str">
        <f>IF('1FComprador'!G44&lt;&gt;"",'1FComprador'!G44,"")</f>
        <v/>
      </c>
      <c r="H44" s="1693"/>
      <c r="I44" s="1692" t="str">
        <f>IF('1FComprador'!I44&lt;&gt;"",'1FComprador'!I44,"")</f>
        <v/>
      </c>
      <c r="J44" s="1693"/>
      <c r="K44" s="1692" t="str">
        <f>IF('1FComprador'!K44&lt;&gt;"",'1FComprador'!K44,"")</f>
        <v/>
      </c>
      <c r="L44" s="1694"/>
    </row>
    <row r="45" spans="2:15" ht="13" thickBot="1">
      <c r="B45" s="47">
        <v>6</v>
      </c>
      <c r="C45" s="1686" t="str">
        <f>IF('1FComprador'!C45&lt;&gt;"",'1FComprador'!C45,"")</f>
        <v/>
      </c>
      <c r="D45" s="1687"/>
      <c r="E45" s="1686" t="str">
        <f>IF('1FComprador'!E45&lt;&gt;"",'1FComprador'!E45,"")</f>
        <v/>
      </c>
      <c r="F45" s="1687"/>
      <c r="G45" s="1686" t="str">
        <f>IF('1FComprador'!G45&lt;&gt;"",'1FComprador'!G45,"")</f>
        <v/>
      </c>
      <c r="H45" s="1687"/>
      <c r="I45" s="1686" t="str">
        <f>IF('1FComprador'!I45&lt;&gt;"",'1FComprador'!I45,"")</f>
        <v/>
      </c>
      <c r="J45" s="1687"/>
      <c r="K45" s="1686" t="str">
        <f>IF('1FComprador'!K45&lt;&gt;"",'1FComprador'!K45,"")</f>
        <v/>
      </c>
      <c r="L45" s="1688"/>
    </row>
    <row r="46" spans="2:15" ht="13" thickBot="1">
      <c r="B46" s="1689" t="s">
        <v>176</v>
      </c>
      <c r="C46" s="1690"/>
      <c r="D46" s="1690"/>
      <c r="E46" s="1690"/>
      <c r="F46" s="1690"/>
      <c r="G46" s="1690"/>
      <c r="H46" s="1690"/>
      <c r="I46" s="1690"/>
      <c r="J46" s="1690"/>
      <c r="K46" s="1690"/>
      <c r="L46" s="1691"/>
    </row>
    <row r="47" spans="2:15">
      <c r="B47" s="46">
        <v>1</v>
      </c>
      <c r="C47" s="1683" t="str">
        <f>IF('1FComprador'!D28&lt;&gt;"",'1FComprador'!D28,"")</f>
        <v>Banheiro Social</v>
      </c>
      <c r="D47" s="1683"/>
      <c r="E47" s="1683"/>
      <c r="F47" s="1683"/>
      <c r="G47" s="1684" t="str">
        <f>IF('1FComprador'!G47&lt;&gt;"",'1FComprador'!G47,"")</f>
        <v/>
      </c>
      <c r="H47" s="1684"/>
      <c r="I47" s="1684"/>
      <c r="J47" s="1684"/>
      <c r="K47" s="1684"/>
      <c r="L47" s="1685"/>
    </row>
    <row r="48" spans="2:15">
      <c r="B48" s="26">
        <v>2</v>
      </c>
      <c r="C48" s="1677" t="str">
        <f>IF('1FComprador'!D29&lt;&gt;"",'1FComprador'!D29,"")</f>
        <v>Banheiro Suite</v>
      </c>
      <c r="D48" s="1677"/>
      <c r="E48" s="1677"/>
      <c r="F48" s="1677"/>
      <c r="G48" s="1678" t="str">
        <f>IF('1FComprador'!G48&lt;&gt;"",'1FComprador'!G48,"")</f>
        <v/>
      </c>
      <c r="H48" s="1678"/>
      <c r="I48" s="1678"/>
      <c r="J48" s="1678"/>
      <c r="K48" s="1678"/>
      <c r="L48" s="1679"/>
    </row>
    <row r="49" spans="2:18">
      <c r="B49" s="26">
        <v>3</v>
      </c>
      <c r="C49" s="1677" t="str">
        <f>IF('1FComprador'!D30&lt;&gt;"",'1FComprador'!D30,"")</f>
        <v>Cozinha e Lavanderia</v>
      </c>
      <c r="D49" s="1677"/>
      <c r="E49" s="1677"/>
      <c r="F49" s="1677"/>
      <c r="G49" s="1678" t="str">
        <f>IF('1FComprador'!G49&lt;&gt;"",'1FComprador'!G49,"")</f>
        <v/>
      </c>
      <c r="H49" s="1678"/>
      <c r="I49" s="1678"/>
      <c r="J49" s="1678"/>
      <c r="K49" s="1678"/>
      <c r="L49" s="1679"/>
    </row>
    <row r="50" spans="2:18">
      <c r="B50" s="26">
        <v>4</v>
      </c>
      <c r="C50" s="1677" t="str">
        <f>IF('1FComprador'!D31&lt;&gt;"",'1FComprador'!D31,"")</f>
        <v>Sala com Estante Metalon</v>
      </c>
      <c r="D50" s="1677"/>
      <c r="E50" s="1677"/>
      <c r="F50" s="1677"/>
      <c r="G50" s="1678" t="str">
        <f>IF('1FComprador'!G50&lt;&gt;"",'1FComprador'!G50,"")</f>
        <v/>
      </c>
      <c r="H50" s="1678"/>
      <c r="I50" s="1678"/>
      <c r="J50" s="1678"/>
      <c r="K50" s="1678"/>
      <c r="L50" s="1679"/>
    </row>
    <row r="51" spans="2:18">
      <c r="B51" s="26">
        <v>5</v>
      </c>
      <c r="C51" s="1677" t="str">
        <f>IF('1FComprador'!D32&lt;&gt;"",'1FComprador'!D32,"")</f>
        <v xml:space="preserve">  </v>
      </c>
      <c r="D51" s="1677"/>
      <c r="E51" s="1677"/>
      <c r="F51" s="1677"/>
      <c r="G51" s="1678" t="str">
        <f>IF('1FComprador'!G51&lt;&gt;"",'1FComprador'!G51,"")</f>
        <v/>
      </c>
      <c r="H51" s="1678"/>
      <c r="I51" s="1678"/>
      <c r="J51" s="1678"/>
      <c r="K51" s="1678"/>
      <c r="L51" s="1679"/>
    </row>
    <row r="52" spans="2:18" ht="13" thickBot="1">
      <c r="B52" s="47">
        <v>6</v>
      </c>
      <c r="C52" s="1680" t="str">
        <f>IF('1FComprador'!D33&lt;&gt;"",'1FComprador'!D33,"")</f>
        <v xml:space="preserve">  </v>
      </c>
      <c r="D52" s="1680"/>
      <c r="E52" s="1680"/>
      <c r="F52" s="1680"/>
      <c r="G52" s="1681" t="str">
        <f>IF('1FComprador'!G52&lt;&gt;"",'1FComprador'!G52,"")</f>
        <v/>
      </c>
      <c r="H52" s="1681"/>
      <c r="I52" s="1681"/>
      <c r="J52" s="1681"/>
      <c r="K52" s="1681"/>
      <c r="L52" s="1682"/>
    </row>
    <row r="53" spans="2:18" ht="13" thickBot="1">
      <c r="B53" s="1659" t="s">
        <v>411</v>
      </c>
      <c r="C53" s="1660"/>
      <c r="D53" s="1660"/>
      <c r="E53" s="1660"/>
      <c r="F53" s="1660"/>
      <c r="G53" s="1660"/>
      <c r="H53" s="1660"/>
      <c r="I53" s="1660"/>
      <c r="J53" s="1660"/>
      <c r="K53" s="1660"/>
      <c r="L53" s="1661"/>
      <c r="R53" s="9"/>
    </row>
    <row r="54" spans="2:18" ht="13" thickBot="1">
      <c r="B54" s="1669" t="s">
        <v>160</v>
      </c>
      <c r="C54" s="1670"/>
      <c r="D54" s="1669" t="s">
        <v>161</v>
      </c>
      <c r="E54" s="1670"/>
      <c r="F54" s="112" t="s">
        <v>163</v>
      </c>
      <c r="G54" s="112" t="s">
        <v>164</v>
      </c>
      <c r="H54" s="299" t="s">
        <v>160</v>
      </c>
      <c r="I54" s="1669" t="s">
        <v>161</v>
      </c>
      <c r="J54" s="1670"/>
      <c r="K54" s="112" t="s">
        <v>163</v>
      </c>
      <c r="L54" s="695" t="s">
        <v>164</v>
      </c>
      <c r="R54" s="29"/>
    </row>
    <row r="55" spans="2:18" ht="13" thickBot="1">
      <c r="B55" s="1675">
        <f>B35</f>
        <v>0</v>
      </c>
      <c r="C55" s="1676"/>
      <c r="D55" s="1676" t="str">
        <f>'3Orçto'!H11</f>
        <v xml:space="preserve">(30) 0+01=01 X </v>
      </c>
      <c r="E55" s="1676"/>
      <c r="F55" s="302">
        <f ca="1">'3Orçto'!I11</f>
        <v>27262</v>
      </c>
      <c r="G55" s="303">
        <f ca="1">B55+F55</f>
        <v>27262</v>
      </c>
      <c r="H55" s="304">
        <f t="shared" ref="H55:H60" si="0">$B$35</f>
        <v>0</v>
      </c>
      <c r="I55" s="1671" t="str">
        <f>'3Orçto'!H17</f>
        <v xml:space="preserve">(30) 0+07=07 X </v>
      </c>
      <c r="J55" s="1672"/>
      <c r="K55" s="302">
        <f ca="1">'3Orçto'!I17</f>
        <v>4189</v>
      </c>
      <c r="L55" s="303">
        <f ca="1">'3Orçto'!L17</f>
        <v>29323</v>
      </c>
    </row>
    <row r="56" spans="2:18" ht="13" thickBot="1">
      <c r="B56" s="1673">
        <f>B35</f>
        <v>0</v>
      </c>
      <c r="C56" s="1674"/>
      <c r="D56" s="1674" t="str">
        <f>'3Orçto'!H12</f>
        <v xml:space="preserve">(30) 0+02=02 X </v>
      </c>
      <c r="E56" s="1674"/>
      <c r="F56" s="332">
        <f ca="1">'3Orçto'!I12</f>
        <v>13768</v>
      </c>
      <c r="G56" s="114">
        <f ca="1">'3Orçto'!L12+B56</f>
        <v>27536</v>
      </c>
      <c r="H56" s="305">
        <f t="shared" si="0"/>
        <v>0</v>
      </c>
      <c r="I56" s="1657" t="str">
        <f>'3Orçto'!H18</f>
        <v xml:space="preserve">(30) 0+08=08 X </v>
      </c>
      <c r="J56" s="1658"/>
      <c r="K56" s="333">
        <f ca="1">'3Orçto'!I18</f>
        <v>3710</v>
      </c>
      <c r="L56" s="113">
        <f ca="1">'3Orçto'!L18</f>
        <v>29680</v>
      </c>
    </row>
    <row r="57" spans="2:18" ht="13" thickBot="1">
      <c r="B57" s="1673">
        <f>B35</f>
        <v>0</v>
      </c>
      <c r="C57" s="1674"/>
      <c r="D57" s="1674" t="str">
        <f>'3Orçto'!H13</f>
        <v xml:space="preserve">(30) 0+03=03 X </v>
      </c>
      <c r="E57" s="1674"/>
      <c r="F57" s="332">
        <f ca="1">'3Orçto'!I13</f>
        <v>9295</v>
      </c>
      <c r="G57" s="114">
        <f ca="1">'3Orçto'!L13+B57</f>
        <v>27885</v>
      </c>
      <c r="H57" s="305">
        <f t="shared" si="0"/>
        <v>0</v>
      </c>
      <c r="I57" s="1657" t="str">
        <f>'3Orçto'!H19</f>
        <v xml:space="preserve">(30) 0+09=09 X </v>
      </c>
      <c r="J57" s="1658"/>
      <c r="K57" s="333">
        <f ca="1">'3Orçto'!I19</f>
        <v>3339</v>
      </c>
      <c r="L57" s="113">
        <f ca="1">'3Orçto'!L19</f>
        <v>30051</v>
      </c>
    </row>
    <row r="58" spans="2:18" ht="13" thickBot="1">
      <c r="B58" s="1673">
        <f>B35</f>
        <v>0</v>
      </c>
      <c r="C58" s="1674"/>
      <c r="D58" s="1674" t="str">
        <f>'3Orçto'!H14</f>
        <v xml:space="preserve">(30) 0+04=04 X </v>
      </c>
      <c r="E58" s="1674"/>
      <c r="F58" s="332">
        <f ca="1">'3Orçto'!I14</f>
        <v>7060</v>
      </c>
      <c r="G58" s="114">
        <f ca="1">'3Orçto'!L14+B58</f>
        <v>28240</v>
      </c>
      <c r="H58" s="305">
        <f t="shared" si="0"/>
        <v>0</v>
      </c>
      <c r="I58" s="1657" t="str">
        <f>'3Orçto'!H20</f>
        <v xml:space="preserve">(30) 0+10=10 X </v>
      </c>
      <c r="J58" s="1658"/>
      <c r="K58" s="333">
        <f ca="1">'3Orçto'!I20</f>
        <v>3042</v>
      </c>
      <c r="L58" s="113">
        <f ca="1">'3Orçto'!L20</f>
        <v>30420</v>
      </c>
    </row>
    <row r="59" spans="2:18" ht="12" customHeight="1" thickBot="1">
      <c r="B59" s="1673">
        <f>B35</f>
        <v>0</v>
      </c>
      <c r="C59" s="1674"/>
      <c r="D59" s="1674" t="str">
        <f>'3Orçto'!H15</f>
        <v xml:space="preserve">(30) 0+05=05 X </v>
      </c>
      <c r="E59" s="1674"/>
      <c r="F59" s="332">
        <f ca="1">'3Orçto'!I15</f>
        <v>5719</v>
      </c>
      <c r="G59" s="114">
        <f ca="1">'3Orçto'!L15+B59</f>
        <v>28595</v>
      </c>
      <c r="H59" s="305">
        <f t="shared" si="0"/>
        <v>0</v>
      </c>
      <c r="I59" s="1657" t="str">
        <f>'3Orçto'!H21</f>
        <v xml:space="preserve">(30) 0+11=11 X </v>
      </c>
      <c r="J59" s="1658"/>
      <c r="K59" s="333">
        <f ca="1">'3Orçto'!I21</f>
        <v>2800</v>
      </c>
      <c r="L59" s="113">
        <f ca="1">'3Orçto'!L21</f>
        <v>30800</v>
      </c>
    </row>
    <row r="60" spans="2:18" ht="13" thickBot="1">
      <c r="B60" s="1666">
        <f>B35</f>
        <v>0</v>
      </c>
      <c r="C60" s="1667"/>
      <c r="D60" s="1667" t="str">
        <f>'3Orçto'!H16</f>
        <v xml:space="preserve">(30) 0+06=06 X </v>
      </c>
      <c r="E60" s="1667"/>
      <c r="F60" s="334">
        <f ca="1">'3Orçto'!I16</f>
        <v>4826</v>
      </c>
      <c r="G60" s="115">
        <f ca="1">'3Orçto'!L16+B60</f>
        <v>28956</v>
      </c>
      <c r="H60" s="306">
        <f t="shared" si="0"/>
        <v>0</v>
      </c>
      <c r="I60" s="1657" t="str">
        <f>'3Orçto'!H22</f>
        <v xml:space="preserve">(30) 0+12=12 X </v>
      </c>
      <c r="J60" s="1658"/>
      <c r="K60" s="300">
        <f ca="1">'3Orçto'!I22</f>
        <v>2598</v>
      </c>
      <c r="L60" s="301">
        <f ca="1">'3Orçto'!L22</f>
        <v>31176</v>
      </c>
    </row>
    <row r="61" spans="2:18" ht="13" thickBot="1">
      <c r="B61" s="1759" t="s">
        <v>412</v>
      </c>
      <c r="C61" s="1760"/>
      <c r="D61" s="1760"/>
      <c r="E61" s="1761"/>
      <c r="F61" s="1762"/>
      <c r="G61" s="1763"/>
      <c r="H61" s="1763"/>
      <c r="I61" s="1763"/>
      <c r="J61" s="1763"/>
      <c r="K61" s="1763"/>
      <c r="L61" s="1764"/>
      <c r="R61" s="9"/>
    </row>
    <row r="62" spans="2:18" ht="13" thickBot="1">
      <c r="B62" s="1762"/>
      <c r="C62" s="1763"/>
      <c r="D62" s="1763"/>
      <c r="E62" s="1763"/>
      <c r="F62" s="1763"/>
      <c r="G62" s="1763"/>
      <c r="H62" s="1763"/>
      <c r="I62" s="1763"/>
      <c r="J62" s="1763"/>
      <c r="K62" s="1763"/>
      <c r="L62" s="1764"/>
      <c r="R62" s="9"/>
    </row>
    <row r="63" spans="2:18" ht="13" thickBot="1">
      <c r="B63" s="1762"/>
      <c r="C63" s="1763"/>
      <c r="D63" s="1763"/>
      <c r="E63" s="1763"/>
      <c r="F63" s="1763"/>
      <c r="G63" s="1763"/>
      <c r="H63" s="1763"/>
      <c r="I63" s="1763"/>
      <c r="J63" s="1763"/>
      <c r="K63" s="1763"/>
      <c r="L63" s="1764"/>
      <c r="R63" s="9"/>
    </row>
    <row r="64" spans="2:18" ht="13" thickBot="1">
      <c r="B64" s="1762"/>
      <c r="C64" s="1763"/>
      <c r="D64" s="1763"/>
      <c r="E64" s="1763"/>
      <c r="F64" s="1763"/>
      <c r="G64" s="1763"/>
      <c r="H64" s="1763"/>
      <c r="I64" s="1763"/>
      <c r="J64" s="1763"/>
      <c r="K64" s="1763"/>
      <c r="L64" s="1764"/>
      <c r="R64" s="9"/>
    </row>
    <row r="65" spans="2:13">
      <c r="B65" s="1668" t="s">
        <v>413</v>
      </c>
      <c r="C65" s="1668"/>
      <c r="D65" s="1668"/>
      <c r="E65" s="694"/>
      <c r="F65" s="694"/>
      <c r="G65" s="700" t="s">
        <v>121</v>
      </c>
      <c r="H65" s="1662" t="str">
        <f>'0F Lj'!D80</f>
        <v xml:space="preserve"> Sistema ByDesigner Desenvolvido Neri (21) 97014-2420</v>
      </c>
      <c r="I65" s="1662"/>
      <c r="J65" s="1662"/>
      <c r="K65" s="1662"/>
      <c r="L65" s="1662"/>
      <c r="M65" s="342"/>
    </row>
  </sheetData>
  <sheetProtection algorithmName="SHA-512" hashValue="hGBzssgqzorQUZbdJLDGIwjpnfmh1KK0Cn336unDETGU3Uj1fivNmrytpQppMPZkfpuTwAkogQ2o7d3kX6h+7g==" saltValue="wzmxzaZXyFwQ+DJXuPEDJA==" spinCount="100000" sheet="1" objects="1" scenarios="1"/>
  <mergeCells count="164">
    <mergeCell ref="B61:E61"/>
    <mergeCell ref="F61:L61"/>
    <mergeCell ref="B62:L62"/>
    <mergeCell ref="B63:L63"/>
    <mergeCell ref="B64:L64"/>
    <mergeCell ref="B2:J2"/>
    <mergeCell ref="K2:L2"/>
    <mergeCell ref="B3:D3"/>
    <mergeCell ref="E3:J3"/>
    <mergeCell ref="B4:D4"/>
    <mergeCell ref="E4:J4"/>
    <mergeCell ref="K4:L4"/>
    <mergeCell ref="B7:D7"/>
    <mergeCell ref="E7:G7"/>
    <mergeCell ref="H7:J7"/>
    <mergeCell ref="K7:L7"/>
    <mergeCell ref="B8:D8"/>
    <mergeCell ref="E8:J8"/>
    <mergeCell ref="B5:D5"/>
    <mergeCell ref="E5:G5"/>
    <mergeCell ref="H5:J5"/>
    <mergeCell ref="K5:L5"/>
    <mergeCell ref="B6:D6"/>
    <mergeCell ref="E6:J6"/>
    <mergeCell ref="K6:L6"/>
    <mergeCell ref="B13:L13"/>
    <mergeCell ref="B14:D14"/>
    <mergeCell ref="E14:F14"/>
    <mergeCell ref="B15:L15"/>
    <mergeCell ref="B16:C16"/>
    <mergeCell ref="B17:L17"/>
    <mergeCell ref="B9:D9"/>
    <mergeCell ref="E9:J9"/>
    <mergeCell ref="K9:L9"/>
    <mergeCell ref="B12:C12"/>
    <mergeCell ref="D12:I12"/>
    <mergeCell ref="K12:L12"/>
    <mergeCell ref="B21:L21"/>
    <mergeCell ref="B22:C22"/>
    <mergeCell ref="D22:J22"/>
    <mergeCell ref="B23:L23"/>
    <mergeCell ref="B24:C24"/>
    <mergeCell ref="D24:F24"/>
    <mergeCell ref="H24:I24"/>
    <mergeCell ref="B19:L19"/>
    <mergeCell ref="B20:C20"/>
    <mergeCell ref="E20:F20"/>
    <mergeCell ref="H20:L20"/>
    <mergeCell ref="D29:G29"/>
    <mergeCell ref="I29:J29"/>
    <mergeCell ref="K29:L29"/>
    <mergeCell ref="D30:G30"/>
    <mergeCell ref="I30:J30"/>
    <mergeCell ref="K30:L30"/>
    <mergeCell ref="B25:L25"/>
    <mergeCell ref="B26:L26"/>
    <mergeCell ref="D27:G27"/>
    <mergeCell ref="I27:J27"/>
    <mergeCell ref="K27:L27"/>
    <mergeCell ref="D28:G28"/>
    <mergeCell ref="I28:J28"/>
    <mergeCell ref="K28:L28"/>
    <mergeCell ref="D33:G33"/>
    <mergeCell ref="I33:J33"/>
    <mergeCell ref="K33:L33"/>
    <mergeCell ref="B34:C34"/>
    <mergeCell ref="I34:J34"/>
    <mergeCell ref="K34:L34"/>
    <mergeCell ref="D31:G31"/>
    <mergeCell ref="I31:J31"/>
    <mergeCell ref="K31:L31"/>
    <mergeCell ref="D32:G32"/>
    <mergeCell ref="I32:J32"/>
    <mergeCell ref="K32:L32"/>
    <mergeCell ref="B37:G37"/>
    <mergeCell ref="H37:I37"/>
    <mergeCell ref="K37:L37"/>
    <mergeCell ref="B38:G38"/>
    <mergeCell ref="H38:I38"/>
    <mergeCell ref="K38:L38"/>
    <mergeCell ref="B35:C35"/>
    <mergeCell ref="I35:J35"/>
    <mergeCell ref="K35:L35"/>
    <mergeCell ref="C36:G36"/>
    <mergeCell ref="H36:I36"/>
    <mergeCell ref="K36:L36"/>
    <mergeCell ref="C39:D39"/>
    <mergeCell ref="E39:F39"/>
    <mergeCell ref="G39:H39"/>
    <mergeCell ref="I39:J39"/>
    <mergeCell ref="K39:L39"/>
    <mergeCell ref="C40:D40"/>
    <mergeCell ref="E40:F40"/>
    <mergeCell ref="G40:H40"/>
    <mergeCell ref="I40:J40"/>
    <mergeCell ref="K40:L40"/>
    <mergeCell ref="C41:D41"/>
    <mergeCell ref="E41:F41"/>
    <mergeCell ref="G41:H41"/>
    <mergeCell ref="I41:J41"/>
    <mergeCell ref="K41:L41"/>
    <mergeCell ref="C42:D42"/>
    <mergeCell ref="E42:F42"/>
    <mergeCell ref="G42:H42"/>
    <mergeCell ref="I42:J42"/>
    <mergeCell ref="K42:L42"/>
    <mergeCell ref="C43:D43"/>
    <mergeCell ref="E43:F43"/>
    <mergeCell ref="G43:H43"/>
    <mergeCell ref="I43:J43"/>
    <mergeCell ref="K43:L43"/>
    <mergeCell ref="C44:D44"/>
    <mergeCell ref="E44:F44"/>
    <mergeCell ref="G44:H44"/>
    <mergeCell ref="I44:J44"/>
    <mergeCell ref="K44:L44"/>
    <mergeCell ref="C47:F47"/>
    <mergeCell ref="G47:L47"/>
    <mergeCell ref="C48:F48"/>
    <mergeCell ref="G48:L48"/>
    <mergeCell ref="C49:F49"/>
    <mergeCell ref="G49:L49"/>
    <mergeCell ref="C45:D45"/>
    <mergeCell ref="E45:F45"/>
    <mergeCell ref="G45:H45"/>
    <mergeCell ref="I45:J45"/>
    <mergeCell ref="K45:L45"/>
    <mergeCell ref="B46:L46"/>
    <mergeCell ref="B57:C57"/>
    <mergeCell ref="D57:E57"/>
    <mergeCell ref="B54:C54"/>
    <mergeCell ref="D54:E54"/>
    <mergeCell ref="B55:C55"/>
    <mergeCell ref="D55:E55"/>
    <mergeCell ref="C50:F50"/>
    <mergeCell ref="G50:L50"/>
    <mergeCell ref="C51:F51"/>
    <mergeCell ref="G51:L51"/>
    <mergeCell ref="C52:F52"/>
    <mergeCell ref="G52:L52"/>
    <mergeCell ref="B18:C18"/>
    <mergeCell ref="D18:F18"/>
    <mergeCell ref="H18:I18"/>
    <mergeCell ref="D16:J16"/>
    <mergeCell ref="I60:J60"/>
    <mergeCell ref="B53:L53"/>
    <mergeCell ref="H65:L65"/>
    <mergeCell ref="B11:I11"/>
    <mergeCell ref="K11:L11"/>
    <mergeCell ref="B60:C60"/>
    <mergeCell ref="D60:E60"/>
    <mergeCell ref="B65:D65"/>
    <mergeCell ref="I54:J54"/>
    <mergeCell ref="I55:J55"/>
    <mergeCell ref="I56:J56"/>
    <mergeCell ref="I57:J57"/>
    <mergeCell ref="I58:J58"/>
    <mergeCell ref="B58:C58"/>
    <mergeCell ref="D58:E58"/>
    <mergeCell ref="B59:C59"/>
    <mergeCell ref="D59:E59"/>
    <mergeCell ref="I59:J59"/>
    <mergeCell ref="B56:C56"/>
    <mergeCell ref="D56:E56"/>
  </mergeCells>
  <conditionalFormatting sqref="O9">
    <cfRule type="cellIs" dxfId="3" priority="1" operator="equal">
      <formula>10</formula>
    </cfRule>
  </conditionalFormatting>
  <printOptions horizontalCentered="1" verticalCentered="1"/>
  <pageMargins left="0.39370078740157483" right="0.19685039370078741" top="0.39370078740157483" bottom="0.39370078740157483" header="0.31496062992125984" footer="0.31496062992125984"/>
  <pageSetup paperSize="9" scale="91"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5">
    <tabColor rgb="FFFF0000"/>
  </sheetPr>
  <dimension ref="A1:R459"/>
  <sheetViews>
    <sheetView zoomScale="120" zoomScaleNormal="120" zoomScaleSheetLayoutView="85" workbookViewId="0">
      <selection activeCell="O423" sqref="O423"/>
    </sheetView>
  </sheetViews>
  <sheetFormatPr defaultColWidth="9.1796875" defaultRowHeight="12.5"/>
  <cols>
    <col min="1" max="1" width="1" style="116" customWidth="1"/>
    <col min="2" max="2" width="4.81640625" style="116" customWidth="1"/>
    <col min="3" max="3" width="5.54296875" style="116" customWidth="1"/>
    <col min="4" max="4" width="12" style="116" customWidth="1"/>
    <col min="5" max="5" width="10" style="116" customWidth="1"/>
    <col min="6" max="6" width="9.1796875" style="116"/>
    <col min="7" max="7" width="10.81640625" style="116" customWidth="1"/>
    <col min="8" max="8" width="11.1796875" style="116" customWidth="1"/>
    <col min="9" max="9" width="9.1796875" style="116"/>
    <col min="10" max="10" width="10.453125" style="116" customWidth="1"/>
    <col min="11" max="11" width="9.1796875" style="116"/>
    <col min="12" max="12" width="11.1796875" style="116" customWidth="1"/>
    <col min="13" max="16" width="9.1796875" style="116"/>
    <col min="17" max="20" width="16.26953125" style="116" customWidth="1"/>
    <col min="21" max="16384" width="9.1796875" style="116"/>
  </cols>
  <sheetData>
    <row r="1" spans="1:14" ht="10.5" customHeight="1" thickBot="1"/>
    <row r="2" spans="1:14" ht="16" thickBot="1">
      <c r="B2" s="1394" t="s">
        <v>414</v>
      </c>
      <c r="C2" s="1395"/>
      <c r="D2" s="1395"/>
      <c r="E2" s="1395"/>
      <c r="F2" s="1395"/>
      <c r="G2" s="1395"/>
      <c r="H2" s="1395"/>
      <c r="I2" s="1395"/>
      <c r="J2" s="1835"/>
      <c r="K2" s="1833" t="s">
        <v>415</v>
      </c>
      <c r="L2" s="1834"/>
    </row>
    <row r="3" spans="1:14" ht="13">
      <c r="B3" s="1397" t="s">
        <v>124</v>
      </c>
      <c r="C3" s="1816"/>
      <c r="D3" s="1836"/>
      <c r="E3" s="1400" t="str">
        <f>'0F Lj'!D12</f>
        <v>Razão Social da Loja</v>
      </c>
      <c r="F3" s="1401"/>
      <c r="G3" s="1401"/>
      <c r="H3" s="1401"/>
      <c r="I3" s="1401"/>
      <c r="J3" s="1402"/>
      <c r="K3" s="1841"/>
      <c r="L3" s="1391"/>
    </row>
    <row r="4" spans="1:14">
      <c r="B4" s="1403" t="s">
        <v>125</v>
      </c>
      <c r="C4" s="1404"/>
      <c r="D4" s="1405"/>
      <c r="E4" s="1837" t="str">
        <f>'0F Lj'!D13</f>
        <v>Nome Fantasia Loja</v>
      </c>
      <c r="F4" s="1838"/>
      <c r="G4" s="1838"/>
      <c r="H4" s="1838"/>
      <c r="I4" s="1838"/>
      <c r="J4" s="1839"/>
      <c r="K4" s="1840" t="s">
        <v>126</v>
      </c>
      <c r="L4" s="1413"/>
      <c r="N4" s="117"/>
    </row>
    <row r="5" spans="1:14">
      <c r="A5" s="117"/>
      <c r="B5" s="1421" t="s">
        <v>127</v>
      </c>
      <c r="C5" s="1422"/>
      <c r="D5" s="1423"/>
      <c r="E5" s="1410" t="str">
        <f>'1FComprador'!E5:G5</f>
        <v>CNPJ da Loja</v>
      </c>
      <c r="F5" s="1411"/>
      <c r="G5" s="1411"/>
      <c r="H5" s="1417" t="str">
        <f>IF('0F Lj'!F19&lt;&gt;"",'0F Lj'!F19,"")</f>
        <v>Inscrição da loja</v>
      </c>
      <c r="I5" s="1417"/>
      <c r="J5" s="1418"/>
      <c r="K5" s="1842" t="str">
        <f>'1FComprador'!K5</f>
        <v>DG-0625-01</v>
      </c>
      <c r="L5" s="1665"/>
    </row>
    <row r="6" spans="1:14" ht="13">
      <c r="B6" s="1403" t="s">
        <v>128</v>
      </c>
      <c r="C6" s="1404"/>
      <c r="D6" s="1405"/>
      <c r="E6" s="1414" t="str">
        <f>'1FComprador'!E6</f>
        <v>Endereço da Loja</v>
      </c>
      <c r="F6" s="1415"/>
      <c r="G6" s="1415"/>
      <c r="H6" s="1415"/>
      <c r="I6" s="1415"/>
      <c r="J6" s="1416"/>
      <c r="K6" s="1749" t="s">
        <v>129</v>
      </c>
      <c r="L6" s="1407"/>
    </row>
    <row r="7" spans="1:14">
      <c r="B7" s="1421" t="s">
        <v>130</v>
      </c>
      <c r="C7" s="1422"/>
      <c r="D7" s="1423"/>
      <c r="E7" s="1421" t="str">
        <f>'0F Lj'!$D$17</f>
        <v>Bairro da loja</v>
      </c>
      <c r="F7" s="1422"/>
      <c r="G7" s="1422"/>
      <c r="H7" s="1422" t="str">
        <f>'0F Lj'!$F$21</f>
        <v>Fone</v>
      </c>
      <c r="I7" s="1422"/>
      <c r="J7" s="1423"/>
      <c r="K7" s="1843">
        <f ca="1">'1FComprador'!$K$7</f>
        <v>46153</v>
      </c>
      <c r="L7" s="1844"/>
    </row>
    <row r="8" spans="1:14">
      <c r="B8" s="1403" t="s">
        <v>131</v>
      </c>
      <c r="C8" s="1404"/>
      <c r="D8" s="1405"/>
      <c r="E8" s="1421" t="str">
        <f>'1FComprador'!E8:J8</f>
        <v>E-mail da Loja</v>
      </c>
      <c r="F8" s="1422"/>
      <c r="G8" s="1422"/>
      <c r="H8" s="1422"/>
      <c r="I8" s="1422"/>
      <c r="J8" s="1423"/>
      <c r="K8" s="292" t="s">
        <v>18</v>
      </c>
      <c r="L8" s="291">
        <f>'1FComprador'!$L$8</f>
        <v>1</v>
      </c>
    </row>
    <row r="9" spans="1:14" ht="13" thickBot="1">
      <c r="B9" s="1375" t="str">
        <f>'3Orçto'!D4</f>
        <v>Vendedor 1</v>
      </c>
      <c r="C9" s="1376"/>
      <c r="D9" s="1377"/>
      <c r="E9" s="1375" t="str">
        <f>'1FComprador'!E9:J9</f>
        <v>Vendedor(a) Projetista : Vendedor 1</v>
      </c>
      <c r="F9" s="1376"/>
      <c r="G9" s="1376"/>
      <c r="H9" s="1376"/>
      <c r="I9" s="1376"/>
      <c r="J9" s="1377"/>
      <c r="K9" s="1753" t="str">
        <f>'1FComprador'!$K$9</f>
        <v>Local da loja</v>
      </c>
      <c r="L9" s="1409"/>
    </row>
    <row r="10" spans="1:14">
      <c r="B10" s="1770"/>
      <c r="C10" s="1771"/>
      <c r="D10" s="1771"/>
      <c r="E10" s="1771"/>
      <c r="F10" s="1771"/>
      <c r="G10" s="1771"/>
      <c r="H10" s="1771"/>
      <c r="I10" s="1771"/>
      <c r="J10" s="1771"/>
      <c r="K10" s="1771"/>
      <c r="L10" s="1772"/>
    </row>
    <row r="11" spans="1:14">
      <c r="B11" s="1663" t="s">
        <v>132</v>
      </c>
      <c r="C11" s="1663"/>
      <c r="D11" s="1663"/>
      <c r="E11" s="1663"/>
      <c r="F11" s="1663"/>
      <c r="G11" s="1663"/>
      <c r="H11" s="1663"/>
      <c r="I11" s="1663"/>
      <c r="J11" s="294" t="s">
        <v>133</v>
      </c>
      <c r="K11" s="1664" t="str">
        <f>IF('1FComprador'!K11&lt;&gt;"",'1FComprador'!K11,"")</f>
        <v/>
      </c>
      <c r="L11" s="1665"/>
    </row>
    <row r="12" spans="1:14">
      <c r="B12" s="1380" t="s">
        <v>135</v>
      </c>
      <c r="C12" s="1381"/>
      <c r="D12" s="1778" t="str">
        <f>IF('1FComprador'!D12&lt;&gt;"",'1FComprador'!D12,"")</f>
        <v/>
      </c>
      <c r="E12" s="1779"/>
      <c r="F12" s="1779"/>
      <c r="G12" s="1779"/>
      <c r="H12" s="1779"/>
      <c r="I12" s="1780"/>
      <c r="J12" s="294" t="s">
        <v>416</v>
      </c>
      <c r="K12" s="1852" t="str">
        <f>IF('1FComprador'!K12&lt;&gt;"",'1FComprador'!K12,"")</f>
        <v/>
      </c>
      <c r="L12" s="1853"/>
    </row>
    <row r="13" spans="1:14">
      <c r="B13" s="1698"/>
      <c r="C13" s="1699"/>
      <c r="D13" s="1699"/>
      <c r="E13" s="1699"/>
      <c r="F13" s="1699"/>
      <c r="G13" s="1699"/>
      <c r="H13" s="1699"/>
      <c r="I13" s="1699"/>
      <c r="J13" s="1699"/>
      <c r="K13" s="1699"/>
      <c r="L13" s="1700"/>
    </row>
    <row r="14" spans="1:14">
      <c r="B14" s="1288" t="s">
        <v>137</v>
      </c>
      <c r="C14" s="1289"/>
      <c r="D14" s="1290"/>
      <c r="E14" s="1773" t="str">
        <f>IF('1FComprador'!E14&lt;&gt;"",'1FComprador'!E14,"")</f>
        <v/>
      </c>
      <c r="F14" s="1775"/>
      <c r="G14" s="290" t="s">
        <v>138</v>
      </c>
      <c r="H14" s="691" t="str">
        <f>IF('1FComprador'!H14&lt;&gt;"",'1FComprador'!H14,"")</f>
        <v/>
      </c>
      <c r="I14" s="290" t="s">
        <v>139</v>
      </c>
      <c r="J14" s="315" t="str">
        <f>IF('1FComprador'!J14&lt;&gt;"",'1FComprador'!J14,"")</f>
        <v xml:space="preserve"> </v>
      </c>
      <c r="K14" s="293" t="s">
        <v>140</v>
      </c>
      <c r="L14" s="316" t="str">
        <f>IF('1FComprador'!L14&lt;&gt;"",'1FComprador'!L14,"")</f>
        <v xml:space="preserve"> </v>
      </c>
    </row>
    <row r="15" spans="1:14">
      <c r="B15" s="1750" t="s">
        <v>408</v>
      </c>
      <c r="C15" s="1751"/>
      <c r="D15" s="1751"/>
      <c r="E15" s="1751"/>
      <c r="F15" s="1751"/>
      <c r="G15" s="1751"/>
      <c r="H15" s="1751"/>
      <c r="I15" s="1751"/>
      <c r="J15" s="1751"/>
      <c r="K15" s="1751"/>
      <c r="L15" s="1752"/>
    </row>
    <row r="16" spans="1:14">
      <c r="B16" s="1288" t="s">
        <v>141</v>
      </c>
      <c r="C16" s="1290"/>
      <c r="D16" s="1773" t="str">
        <f>IF('1FComprador'!D16&lt;&gt;"",'1FComprador'!D16,"")</f>
        <v xml:space="preserve"> </v>
      </c>
      <c r="E16" s="1774"/>
      <c r="F16" s="1774"/>
      <c r="G16" s="1774"/>
      <c r="H16" s="1774"/>
      <c r="I16" s="1774"/>
      <c r="J16" s="1775"/>
      <c r="K16" s="290" t="s">
        <v>142</v>
      </c>
      <c r="L16" s="675" t="str">
        <f>IF('1FComprador'!L16&lt;&gt;"",'1FComprador'!L16,"")</f>
        <v>Led</v>
      </c>
    </row>
    <row r="17" spans="2:12">
      <c r="B17" s="1741" t="s">
        <v>408</v>
      </c>
      <c r="C17" s="1742"/>
      <c r="D17" s="1742"/>
      <c r="E17" s="1742"/>
      <c r="F17" s="1742"/>
      <c r="G17" s="1742"/>
      <c r="H17" s="1742"/>
      <c r="I17" s="1742"/>
      <c r="J17" s="1742"/>
      <c r="K17" s="1742"/>
      <c r="L17" s="1743"/>
    </row>
    <row r="18" spans="2:12">
      <c r="B18" s="1288" t="s">
        <v>143</v>
      </c>
      <c r="C18" s="1290"/>
      <c r="D18" s="1773" t="str">
        <f>IF('1FComprador'!D18&lt;&gt;"",'1FComprador'!D18,"")</f>
        <v/>
      </c>
      <c r="E18" s="1774"/>
      <c r="F18" s="1775"/>
      <c r="G18" s="290" t="s">
        <v>144</v>
      </c>
      <c r="H18" s="1773" t="str">
        <f>IF('1FComprador'!H18&lt;&gt;"",'1FComprador'!H18,"")</f>
        <v xml:space="preserve"> Rio de Janeiro</v>
      </c>
      <c r="I18" s="1775"/>
      <c r="J18" s="863" t="str">
        <f>IF('1FComprador'!J18&lt;&gt;"",'1FComprador'!J18,"")</f>
        <v xml:space="preserve"> RJ</v>
      </c>
      <c r="K18" s="289" t="s">
        <v>65</v>
      </c>
      <c r="L18" s="862" t="str">
        <f>IF('1FComprador'!L18&lt;&gt;"",'1FComprador'!L18,"")</f>
        <v/>
      </c>
    </row>
    <row r="19" spans="2:12">
      <c r="B19" s="1304" t="s">
        <v>134</v>
      </c>
      <c r="C19" s="1305"/>
      <c r="D19" s="1305"/>
      <c r="E19" s="1305"/>
      <c r="F19" s="1305"/>
      <c r="G19" s="1305"/>
      <c r="H19" s="1305"/>
      <c r="I19" s="1305"/>
      <c r="J19" s="1305"/>
      <c r="K19" s="1305"/>
      <c r="L19" s="1306"/>
    </row>
    <row r="20" spans="2:12">
      <c r="B20" s="1288" t="s">
        <v>147</v>
      </c>
      <c r="C20" s="1290"/>
      <c r="D20" s="861" t="str">
        <f>IF('1FComprador'!D20&lt;&gt;"",'1FComprador'!D20,"")</f>
        <v xml:space="preserve"> </v>
      </c>
      <c r="E20" s="1773" t="str">
        <f>IF('1FComprador'!E20&lt;&gt;"",'1FComprador'!E20,"")</f>
        <v xml:space="preserve"> </v>
      </c>
      <c r="F20" s="1775"/>
      <c r="G20" s="290" t="s">
        <v>148</v>
      </c>
      <c r="H20" s="1746" t="str">
        <f>IF('1FComprador'!H20&lt;&gt;"",'1FComprador'!H20,"")</f>
        <v xml:space="preserve"> </v>
      </c>
      <c r="I20" s="1747"/>
      <c r="J20" s="1747"/>
      <c r="K20" s="1747"/>
      <c r="L20" s="1748"/>
    </row>
    <row r="21" spans="2:12">
      <c r="B21" s="1741" t="s">
        <v>408</v>
      </c>
      <c r="C21" s="1742"/>
      <c r="D21" s="1742"/>
      <c r="E21" s="1742"/>
      <c r="F21" s="1742"/>
      <c r="G21" s="1742"/>
      <c r="H21" s="1742"/>
      <c r="I21" s="1742"/>
      <c r="J21" s="1742"/>
      <c r="K21" s="1742"/>
      <c r="L21" s="1743"/>
    </row>
    <row r="22" spans="2:12">
      <c r="B22" s="1776" t="s">
        <v>149</v>
      </c>
      <c r="C22" s="1777"/>
      <c r="D22" s="1774" t="str">
        <f>IF('1FComprador'!D22&lt;&gt;"",'1FComprador'!D22,"")</f>
        <v xml:space="preserve">ACIMA </v>
      </c>
      <c r="E22" s="1774"/>
      <c r="F22" s="1774"/>
      <c r="G22" s="1774"/>
      <c r="H22" s="1774"/>
      <c r="I22" s="1774"/>
      <c r="J22" s="1775"/>
      <c r="K22" s="357" t="s">
        <v>409</v>
      </c>
      <c r="L22" s="864" t="str">
        <f>IF('1FComprador'!L22&lt;&gt;"",'1FComprador'!L22,"")</f>
        <v>até 40 dias úteis</v>
      </c>
    </row>
    <row r="23" spans="2:12">
      <c r="B23" s="1741" t="s">
        <v>408</v>
      </c>
      <c r="C23" s="1742"/>
      <c r="D23" s="1742"/>
      <c r="E23" s="1742"/>
      <c r="F23" s="1742"/>
      <c r="G23" s="1742"/>
      <c r="H23" s="1742"/>
      <c r="I23" s="1742"/>
      <c r="J23" s="1742"/>
      <c r="K23" s="1742"/>
      <c r="L23" s="1743"/>
    </row>
    <row r="24" spans="2:12">
      <c r="B24" s="1288" t="s">
        <v>143</v>
      </c>
      <c r="C24" s="1290"/>
      <c r="D24" s="1773" t="str">
        <f>IF('1FComprador'!D24&lt;&gt;"",'1FComprador'!D24,"")</f>
        <v xml:space="preserve"> </v>
      </c>
      <c r="E24" s="1774"/>
      <c r="F24" s="1775"/>
      <c r="G24" s="290" t="s">
        <v>144</v>
      </c>
      <c r="H24" s="1773" t="str">
        <f>IF('1FComprador'!H24&lt;&gt;"",'1FComprador'!H24,"")</f>
        <v>Rio de Janeiro</v>
      </c>
      <c r="I24" s="1775"/>
      <c r="J24" s="863" t="str">
        <f>IF('1FComprador'!J24&lt;&gt;"",'1FComprador'!J24,"")</f>
        <v>RJ</v>
      </c>
      <c r="K24" s="289" t="s">
        <v>65</v>
      </c>
      <c r="L24" s="862" t="str">
        <f>IF('1FComprador'!L24&lt;&gt;"",'1FComprador'!L24,"")</f>
        <v/>
      </c>
    </row>
    <row r="25" spans="2:12" ht="13" thickBot="1">
      <c r="B25" s="1729" t="s">
        <v>408</v>
      </c>
      <c r="C25" s="1730"/>
      <c r="D25" s="1730"/>
      <c r="E25" s="1730"/>
      <c r="F25" s="1730"/>
      <c r="G25" s="1730"/>
      <c r="H25" s="1730"/>
      <c r="I25" s="1730"/>
      <c r="J25" s="1730"/>
      <c r="K25" s="1730"/>
      <c r="L25" s="1731"/>
    </row>
    <row r="26" spans="2:12" ht="13" thickBot="1">
      <c r="B26" s="1850" t="s">
        <v>153</v>
      </c>
      <c r="C26" s="1279"/>
      <c r="D26" s="1279"/>
      <c r="E26" s="1279"/>
      <c r="F26" s="1279"/>
      <c r="G26" s="1279"/>
      <c r="H26" s="1279"/>
      <c r="I26" s="1279"/>
      <c r="J26" s="1279"/>
      <c r="K26" s="1279"/>
      <c r="L26" s="1851"/>
    </row>
    <row r="27" spans="2:12" ht="13" thickBot="1">
      <c r="B27" s="42" t="s">
        <v>154</v>
      </c>
      <c r="C27" s="43" t="s">
        <v>155</v>
      </c>
      <c r="D27" s="1318" t="s">
        <v>156</v>
      </c>
      <c r="E27" s="1318"/>
      <c r="F27" s="1318"/>
      <c r="G27" s="1318"/>
      <c r="H27" s="677" t="s">
        <v>157</v>
      </c>
      <c r="I27" s="1314" t="s">
        <v>158</v>
      </c>
      <c r="J27" s="1315"/>
      <c r="K27" s="1314" t="s">
        <v>159</v>
      </c>
      <c r="L27" s="1315"/>
    </row>
    <row r="28" spans="2:12" ht="13" thickBot="1">
      <c r="B28" s="358">
        <v>1</v>
      </c>
      <c r="C28" s="865">
        <f>IF('1FComprador'!C28&lt;&gt;"",'1FComprador'!C28,"")</f>
        <v>1</v>
      </c>
      <c r="D28" s="1854" t="str">
        <f>IF('1FComprador'!D28&lt;&gt;"",'1FComprador'!D28,"")</f>
        <v>Banheiro Social</v>
      </c>
      <c r="E28" s="1854"/>
      <c r="F28" s="1854"/>
      <c r="G28" s="1854"/>
      <c r="H28" s="866" t="str">
        <f>IF('1FComprador'!H28&lt;&gt;"",'1FComprador'!H28,"")</f>
        <v>até 40 dias úteis</v>
      </c>
      <c r="I28" s="1845">
        <f>IF('1FComprador'!I28&lt;&gt;"",'1FComprador'!I28,"")</f>
        <v>7741</v>
      </c>
      <c r="J28" s="1855"/>
      <c r="K28" s="1845">
        <f>IF('1FComprador'!K28&lt;&gt;"",'1FComprador'!K28,"")</f>
        <v>5596.4090132348556</v>
      </c>
      <c r="L28" s="1846"/>
    </row>
    <row r="29" spans="2:12" ht="13" thickBot="1">
      <c r="B29" s="679">
        <v>2</v>
      </c>
      <c r="C29" s="865">
        <f>IF('1FComprador'!C29&lt;&gt;"",'1FComprador'!C29,"")</f>
        <v>1</v>
      </c>
      <c r="D29" s="1854" t="str">
        <f>IF('1FComprador'!D29&lt;&gt;"",'1FComprador'!D29,"")</f>
        <v>Banheiro Suite</v>
      </c>
      <c r="E29" s="1854"/>
      <c r="F29" s="1854"/>
      <c r="G29" s="1854"/>
      <c r="H29" s="866" t="str">
        <f>IF('1FComprador'!H29&lt;&gt;"",'1FComprador'!H29,"")</f>
        <v>até 40 dias úteis</v>
      </c>
      <c r="I29" s="1845">
        <f>IF('1FComprador'!I29&lt;&gt;"",'1FComprador'!I29,"")</f>
        <v>15324</v>
      </c>
      <c r="J29" s="1855"/>
      <c r="K29" s="1845">
        <f>IF('1FComprador'!K29&lt;&gt;"",'1FComprador'!K29,"")</f>
        <v>11078.590843406655</v>
      </c>
      <c r="L29" s="1846"/>
    </row>
    <row r="30" spans="2:12" ht="13" thickBot="1">
      <c r="B30" s="679">
        <v>3</v>
      </c>
      <c r="C30" s="865">
        <f>IF('1FComprador'!C30&lt;&gt;"",'1FComprador'!C30,"")</f>
        <v>1</v>
      </c>
      <c r="D30" s="1854" t="str">
        <f>IF('1FComprador'!D30&lt;&gt;"",'1FComprador'!D30,"")</f>
        <v>Cozinha e Lavanderia</v>
      </c>
      <c r="E30" s="1854"/>
      <c r="F30" s="1854"/>
      <c r="G30" s="1854"/>
      <c r="H30" s="866" t="str">
        <f>IF('1FComprador'!H30&lt;&gt;"",'1FComprador'!H30,"")</f>
        <v>até 40 dias úteis</v>
      </c>
      <c r="I30" s="1845">
        <f>IF('1FComprador'!I30&lt;&gt;"",'1FComprador'!I30,"")</f>
        <v>82572</v>
      </c>
      <c r="J30" s="1855"/>
      <c r="K30" s="1845">
        <f>IF('1FComprador'!K30&lt;&gt;"",'1FComprador'!K30,"")</f>
        <v>59695.993416978228</v>
      </c>
      <c r="L30" s="1846"/>
    </row>
    <row r="31" spans="2:12" ht="13" thickBot="1">
      <c r="B31" s="679">
        <v>4</v>
      </c>
      <c r="C31" s="865">
        <f>IF('1FComprador'!C31&lt;&gt;"",'1FComprador'!C31,"")</f>
        <v>1</v>
      </c>
      <c r="D31" s="1854" t="str">
        <f>IF('1FComprador'!D31&lt;&gt;"",'1FComprador'!D31,"")</f>
        <v>Sala com Estante Metalon</v>
      </c>
      <c r="E31" s="1854"/>
      <c r="F31" s="1854"/>
      <c r="G31" s="1854"/>
      <c r="H31" s="866" t="str">
        <f>IF('1FComprador'!H31&lt;&gt;"",'1FComprador'!H31,"")</f>
        <v>até 40 dias úteis</v>
      </c>
      <c r="I31" s="1845">
        <f>IF('1FComprador'!I31&lt;&gt;"",'1FComprador'!I31,"")</f>
        <v>68751</v>
      </c>
      <c r="J31" s="1855"/>
      <c r="K31" s="1845">
        <f>IF('1FComprador'!K31&lt;&gt;"",'1FComprador'!K31,"")</f>
        <v>49704.006726380248</v>
      </c>
      <c r="L31" s="1846"/>
    </row>
    <row r="32" spans="2:12" ht="13" thickBot="1">
      <c r="B32" s="679">
        <v>5</v>
      </c>
      <c r="C32" s="865" t="str">
        <f>IF('1FComprador'!C32&lt;&gt;"",'1FComprador'!C32,"")</f>
        <v xml:space="preserve">  </v>
      </c>
      <c r="D32" s="1854" t="str">
        <f>IF('1FComprador'!D32&lt;&gt;"",'1FComprador'!D32,"")</f>
        <v xml:space="preserve">  </v>
      </c>
      <c r="E32" s="1854"/>
      <c r="F32" s="1854"/>
      <c r="G32" s="1854"/>
      <c r="H32" s="866" t="str">
        <f>IF('1FComprador'!H32&lt;&gt;"",'1FComprador'!H32,"")</f>
        <v xml:space="preserve">  </v>
      </c>
      <c r="I32" s="1845" t="str">
        <f>IF('1FComprador'!I32&lt;&gt;"",'1FComprador'!I32,"")</f>
        <v/>
      </c>
      <c r="J32" s="1855"/>
      <c r="K32" s="1845" t="str">
        <f>IF('1FComprador'!K32&lt;&gt;"",'1FComprador'!K32,"")</f>
        <v xml:space="preserve"> </v>
      </c>
      <c r="L32" s="1846"/>
    </row>
    <row r="33" spans="2:15" ht="13" thickBot="1">
      <c r="B33" s="359">
        <v>6</v>
      </c>
      <c r="C33" s="865" t="str">
        <f>IF('1FComprador'!C33&lt;&gt;"",'1FComprador'!C33,"")</f>
        <v xml:space="preserve">  </v>
      </c>
      <c r="D33" s="1854" t="str">
        <f>IF('1FComprador'!D33&lt;&gt;"",'1FComprador'!D33,"")</f>
        <v xml:space="preserve">  </v>
      </c>
      <c r="E33" s="1854"/>
      <c r="F33" s="1854"/>
      <c r="G33" s="1854"/>
      <c r="H33" s="866" t="str">
        <f>IF('1FComprador'!H33&lt;&gt;"",'1FComprador'!H33,"")</f>
        <v xml:space="preserve">  </v>
      </c>
      <c r="I33" s="1845" t="str">
        <f>IF('1FComprador'!I33&lt;&gt;"",'1FComprador'!I33,"")</f>
        <v/>
      </c>
      <c r="J33" s="1855"/>
      <c r="K33" s="1845" t="str">
        <f>IF('1FComprador'!K33&lt;&gt;"",'1FComprador'!K33,"")</f>
        <v xml:space="preserve"> </v>
      </c>
      <c r="L33" s="1846"/>
    </row>
    <row r="34" spans="2:15" ht="13.5" thickBot="1">
      <c r="B34" s="1436" t="s">
        <v>160</v>
      </c>
      <c r="C34" s="1437"/>
      <c r="D34" s="118" t="s">
        <v>161</v>
      </c>
      <c r="E34" s="118" t="s">
        <v>162</v>
      </c>
      <c r="F34" s="44" t="s">
        <v>163</v>
      </c>
      <c r="G34" s="118" t="s">
        <v>164</v>
      </c>
      <c r="H34" s="45" t="s">
        <v>165</v>
      </c>
      <c r="I34" s="1831">
        <f>IF('1FComprador'!I34&lt;&gt;"",'1FComprador'!I34,"")</f>
        <v>174388</v>
      </c>
      <c r="J34" s="1832"/>
      <c r="K34" s="1831">
        <f>IF('1FComprador'!K34&lt;&gt;"",'1FComprador'!K34,"")</f>
        <v>126074.99999999999</v>
      </c>
      <c r="L34" s="1832"/>
    </row>
    <row r="35" spans="2:15" ht="13" thickBot="1">
      <c r="B35" s="1856">
        <f>IF('1FComprador'!B35&lt;&gt;"",'1FComprador'!B35,"")</f>
        <v>0</v>
      </c>
      <c r="C35" s="1857"/>
      <c r="D35" s="867" t="str">
        <f>IF('1FComprador'!D35&lt;&gt;"",'1FComprador'!D35,"")</f>
        <v xml:space="preserve">(0) 1+14=15 X </v>
      </c>
      <c r="E35" s="867">
        <f>IF('1FComprador'!E35&lt;&gt;"",'1FComprador'!E35,"")</f>
        <v>15</v>
      </c>
      <c r="F35" s="868">
        <f>'1FComprador'!F35</f>
        <v>8405</v>
      </c>
      <c r="G35" s="869">
        <f>'1FComprador'!G35</f>
        <v>126075</v>
      </c>
      <c r="H35" s="41" t="str">
        <f>'1FComprador'!H34</f>
        <v>Total dos Itens</v>
      </c>
      <c r="I35" s="1847" t="str">
        <f>IF('1FComprador'!I35&gt;0,'1FComprador'!I35,"")</f>
        <v/>
      </c>
      <c r="J35" s="1848"/>
      <c r="K35" s="1337" t="str">
        <f>IF('1FComprador'!K35&gt;0,'1FComprador'!K35,"")</f>
        <v/>
      </c>
      <c r="L35" s="1849"/>
    </row>
    <row r="36" spans="2:15" ht="13.5" thickBot="1">
      <c r="B36" s="362" t="s">
        <v>166</v>
      </c>
      <c r="C36" s="1858" t="str">
        <f>'1FComprador'!C36:G36</f>
        <v xml:space="preserve"> </v>
      </c>
      <c r="D36" s="1859"/>
      <c r="E36" s="1859"/>
      <c r="F36" s="1859"/>
      <c r="G36" s="1860"/>
      <c r="H36" s="1441" t="s">
        <v>167</v>
      </c>
      <c r="I36" s="1442"/>
      <c r="J36" s="870">
        <f>IF('1FComprador'!J36&lt;&gt;"",'1FComprador'!J36,"")</f>
        <v>1</v>
      </c>
      <c r="K36" s="1823">
        <f>IF('1FComprador'!K36&lt;&gt;"",'1FComprador'!K36,"")</f>
        <v>174388</v>
      </c>
      <c r="L36" s="1824"/>
    </row>
    <row r="37" spans="2:15" ht="13.5" thickBot="1">
      <c r="B37" s="1861" t="str">
        <f>'1FComprador'!B37:G37</f>
        <v/>
      </c>
      <c r="C37" s="1862"/>
      <c r="D37" s="1862"/>
      <c r="E37" s="1862"/>
      <c r="F37" s="1862"/>
      <c r="G37" s="1863"/>
      <c r="H37" s="1701" t="s">
        <v>168</v>
      </c>
      <c r="I37" s="1702"/>
      <c r="J37" s="870">
        <f>IF('1FComprador'!J37&lt;&gt;"",'1FComprador'!J37,"")</f>
        <v>-0.2770431451705393</v>
      </c>
      <c r="K37" s="1823">
        <f>IF('1FComprador'!K37&lt;&gt;"",'1FComprador'!K37,"")</f>
        <v>-48313</v>
      </c>
      <c r="L37" s="1824"/>
      <c r="O37" s="138"/>
    </row>
    <row r="38" spans="2:15" ht="13.5" thickBot="1">
      <c r="B38" s="1861" t="str">
        <f>IF('1FComprador'!B38&lt;&gt;"",'1FComprador'!B38,"")</f>
        <v/>
      </c>
      <c r="C38" s="1862"/>
      <c r="D38" s="1862"/>
      <c r="E38" s="1862"/>
      <c r="F38" s="1862"/>
      <c r="G38" s="1863"/>
      <c r="H38" s="1705" t="s">
        <v>169</v>
      </c>
      <c r="I38" s="1374"/>
      <c r="J38" s="870">
        <f>IF('1FComprador'!J38&lt;&gt;"",'1FComprador'!J38,"")</f>
        <v>0.7229568548294607</v>
      </c>
      <c r="K38" s="1823">
        <f>IF('1FComprador'!K38&lt;&gt;"",'1FComprador'!K38,"")</f>
        <v>126075</v>
      </c>
      <c r="L38" s="1824"/>
    </row>
    <row r="39" spans="2:15" ht="13" thickBot="1">
      <c r="B39" s="24" t="s">
        <v>154</v>
      </c>
      <c r="C39" s="1443" t="s">
        <v>170</v>
      </c>
      <c r="D39" s="1444"/>
      <c r="E39" s="1443" t="s">
        <v>171</v>
      </c>
      <c r="F39" s="1444"/>
      <c r="G39" s="1443" t="s">
        <v>172</v>
      </c>
      <c r="H39" s="1444"/>
      <c r="I39" s="1443" t="s">
        <v>173</v>
      </c>
      <c r="J39" s="1444"/>
      <c r="K39" s="1443" t="s">
        <v>174</v>
      </c>
      <c r="L39" s="1336"/>
    </row>
    <row r="40" spans="2:15" ht="13" thickBot="1">
      <c r="B40" s="46">
        <v>1</v>
      </c>
      <c r="C40" s="1784" t="str">
        <f>IF('1FComprador'!C40&lt;&gt;"",'1FComprador'!C40,"")</f>
        <v xml:space="preserve"> </v>
      </c>
      <c r="D40" s="1785"/>
      <c r="E40" s="1784" t="str">
        <f>IF('1FComprador'!E40&lt;&gt;"",'1FComprador'!E40,"")</f>
        <v xml:space="preserve"> </v>
      </c>
      <c r="F40" s="1785"/>
      <c r="G40" s="1784" t="str">
        <f>IF('1FComprador'!G40&lt;&gt;"",'1FComprador'!G40,"")</f>
        <v xml:space="preserve"> </v>
      </c>
      <c r="H40" s="1785"/>
      <c r="I40" s="1784" t="str">
        <f>IF('1FComprador'!I40&lt;&gt;"",'1FComprador'!I40,"")</f>
        <v xml:space="preserve"> </v>
      </c>
      <c r="J40" s="1785"/>
      <c r="K40" s="1786" t="str">
        <f>IF('1FComprador'!K40&lt;&gt;"",'1FComprador'!K40,"")</f>
        <v xml:space="preserve"> Gold</v>
      </c>
      <c r="L40" s="1787"/>
    </row>
    <row r="41" spans="2:15" ht="13" thickBot="1">
      <c r="B41" s="26">
        <v>2</v>
      </c>
      <c r="C41" s="1784" t="str">
        <f>IF('1FComprador'!C41&lt;&gt;"",'1FComprador'!C41,"")</f>
        <v xml:space="preserve"> </v>
      </c>
      <c r="D41" s="1785"/>
      <c r="E41" s="1784" t="str">
        <f>IF('1FComprador'!E41&lt;&gt;"",'1FComprador'!E41,"")</f>
        <v xml:space="preserve"> </v>
      </c>
      <c r="F41" s="1785"/>
      <c r="G41" s="1784" t="str">
        <f>IF('1FComprador'!G41&lt;&gt;"",'1FComprador'!G41,"")</f>
        <v xml:space="preserve"> </v>
      </c>
      <c r="H41" s="1785"/>
      <c r="I41" s="1784" t="str">
        <f>IF('1FComprador'!I41&lt;&gt;"",'1FComprador'!I41,"")</f>
        <v xml:space="preserve"> </v>
      </c>
      <c r="J41" s="1785"/>
      <c r="K41" s="1786" t="str">
        <f>IF('1FComprador'!K41&lt;&gt;"",'1FComprador'!K41,"")</f>
        <v/>
      </c>
      <c r="L41" s="1787"/>
    </row>
    <row r="42" spans="2:15" ht="13" thickBot="1">
      <c r="B42" s="26">
        <v>3</v>
      </c>
      <c r="C42" s="1784" t="str">
        <f>IF('1FComprador'!C42&lt;&gt;"",'1FComprador'!C42,"")</f>
        <v xml:space="preserve"> </v>
      </c>
      <c r="D42" s="1785"/>
      <c r="E42" s="1784" t="str">
        <f>IF('1FComprador'!E42&lt;&gt;"",'1FComprador'!E42,"")</f>
        <v xml:space="preserve"> </v>
      </c>
      <c r="F42" s="1785"/>
      <c r="G42" s="1784" t="str">
        <f>IF('1FComprador'!G42&lt;&gt;"",'1FComprador'!G42,"")</f>
        <v xml:space="preserve"> </v>
      </c>
      <c r="H42" s="1785"/>
      <c r="I42" s="1784" t="str">
        <f>IF('1FComprador'!I42&lt;&gt;"",'1FComprador'!I42,"")</f>
        <v xml:space="preserve"> </v>
      </c>
      <c r="J42" s="1785"/>
      <c r="K42" s="1786" t="str">
        <f>IF('1FComprador'!K42&lt;&gt;"",'1FComprador'!K42,"")</f>
        <v/>
      </c>
      <c r="L42" s="1787"/>
    </row>
    <row r="43" spans="2:15" ht="13" thickBot="1">
      <c r="B43" s="26">
        <v>4</v>
      </c>
      <c r="C43" s="1784" t="str">
        <f>IF('1FComprador'!C43&lt;&gt;"",'1FComprador'!C43,"")</f>
        <v/>
      </c>
      <c r="D43" s="1785"/>
      <c r="E43" s="1784" t="str">
        <f>IF('1FComprador'!E43&lt;&gt;"",'1FComprador'!E43,"")</f>
        <v/>
      </c>
      <c r="F43" s="1785"/>
      <c r="G43" s="1784" t="str">
        <f>IF('1FComprador'!G43&lt;&gt;"",'1FComprador'!G43,"")</f>
        <v/>
      </c>
      <c r="H43" s="1785"/>
      <c r="I43" s="1784" t="str">
        <f>IF('1FComprador'!I43&lt;&gt;"",'1FComprador'!I43,"")</f>
        <v/>
      </c>
      <c r="J43" s="1785"/>
      <c r="K43" s="1786" t="str">
        <f>IF('1FComprador'!K43&lt;&gt;"",'1FComprador'!K43,"")</f>
        <v/>
      </c>
      <c r="L43" s="1787"/>
    </row>
    <row r="44" spans="2:15" ht="13" thickBot="1">
      <c r="B44" s="26">
        <v>5</v>
      </c>
      <c r="C44" s="1784" t="str">
        <f>IF('1FComprador'!C44&lt;&gt;"",'1FComprador'!C44,"")</f>
        <v/>
      </c>
      <c r="D44" s="1785"/>
      <c r="E44" s="1784" t="str">
        <f>IF('1FComprador'!E44&lt;&gt;"",'1FComprador'!E44,"")</f>
        <v/>
      </c>
      <c r="F44" s="1785"/>
      <c r="G44" s="1784" t="str">
        <f>IF('1FComprador'!G44&lt;&gt;"",'1FComprador'!G44,"")</f>
        <v/>
      </c>
      <c r="H44" s="1785"/>
      <c r="I44" s="1784" t="str">
        <f>IF('1FComprador'!I44&lt;&gt;"",'1FComprador'!I44,"")</f>
        <v/>
      </c>
      <c r="J44" s="1785"/>
      <c r="K44" s="1786" t="str">
        <f>IF('1FComprador'!K44&lt;&gt;"",'1FComprador'!K44,"")</f>
        <v/>
      </c>
      <c r="L44" s="1787"/>
    </row>
    <row r="45" spans="2:15" ht="13" thickBot="1">
      <c r="B45" s="47">
        <v>6</v>
      </c>
      <c r="C45" s="1784" t="str">
        <f>IF('1FComprador'!C45&lt;&gt;"",'1FComprador'!C45,"")</f>
        <v/>
      </c>
      <c r="D45" s="1785"/>
      <c r="E45" s="1784" t="str">
        <f>IF('1FComprador'!E45&lt;&gt;"",'1FComprador'!E45,"")</f>
        <v/>
      </c>
      <c r="F45" s="1785"/>
      <c r="G45" s="1784" t="str">
        <f>IF('1FComprador'!G45&lt;&gt;"",'1FComprador'!G45,"")</f>
        <v/>
      </c>
      <c r="H45" s="1785"/>
      <c r="I45" s="1784" t="str">
        <f>IF('1FComprador'!I45&lt;&gt;"",'1FComprador'!I45,"")</f>
        <v/>
      </c>
      <c r="J45" s="1785"/>
      <c r="K45" s="1786" t="str">
        <f>IF('1FComprador'!K45&lt;&gt;"",'1FComprador'!K45,"")</f>
        <v/>
      </c>
      <c r="L45" s="1787"/>
    </row>
    <row r="46" spans="2:15" ht="13" thickBot="1">
      <c r="B46" s="1689" t="s">
        <v>176</v>
      </c>
      <c r="C46" s="1690"/>
      <c r="D46" s="1690"/>
      <c r="E46" s="1690"/>
      <c r="F46" s="1690"/>
      <c r="G46" s="1690"/>
      <c r="H46" s="1690"/>
      <c r="I46" s="1690"/>
      <c r="J46" s="1690"/>
      <c r="K46" s="1690"/>
      <c r="L46" s="1691"/>
    </row>
    <row r="47" spans="2:15" ht="13" thickBot="1">
      <c r="B47" s="46">
        <v>1</v>
      </c>
      <c r="C47" s="1683" t="str">
        <f>IF('1FComprador'!C47&lt;&gt;"",'1FComprador'!C47,"")</f>
        <v>Banheiro Social</v>
      </c>
      <c r="D47" s="1683"/>
      <c r="E47" s="1683"/>
      <c r="F47" s="1683"/>
      <c r="G47" s="1819" t="str">
        <f>IF('1FComprador'!G47&lt;&gt;"",'1FComprador'!G47,"")</f>
        <v/>
      </c>
      <c r="H47" s="1819"/>
      <c r="I47" s="1819"/>
      <c r="J47" s="1819"/>
      <c r="K47" s="1819"/>
      <c r="L47" s="1820"/>
    </row>
    <row r="48" spans="2:15" ht="13" thickBot="1">
      <c r="B48" s="26">
        <v>2</v>
      </c>
      <c r="C48" s="1683" t="str">
        <f>IF('1FComprador'!C48&lt;&gt;"",'1FComprador'!C48,"")</f>
        <v>Banheiro Suite</v>
      </c>
      <c r="D48" s="1683"/>
      <c r="E48" s="1683"/>
      <c r="F48" s="1683"/>
      <c r="G48" s="1819" t="str">
        <f>IF('1FComprador'!G48&lt;&gt;"",'1FComprador'!G48,"")</f>
        <v/>
      </c>
      <c r="H48" s="1819"/>
      <c r="I48" s="1819"/>
      <c r="J48" s="1819"/>
      <c r="K48" s="1819"/>
      <c r="L48" s="1820"/>
    </row>
    <row r="49" spans="2:18" ht="13" thickBot="1">
      <c r="B49" s="26">
        <v>3</v>
      </c>
      <c r="C49" s="1683" t="str">
        <f>IF('1FComprador'!C49&lt;&gt;"",'1FComprador'!C49,"")</f>
        <v>Cozinha e Lavanderia</v>
      </c>
      <c r="D49" s="1683"/>
      <c r="E49" s="1683"/>
      <c r="F49" s="1683"/>
      <c r="G49" s="1819" t="str">
        <f>IF('1FComprador'!G49&lt;&gt;"",'1FComprador'!G49,"")</f>
        <v/>
      </c>
      <c r="H49" s="1819"/>
      <c r="I49" s="1819"/>
      <c r="J49" s="1819"/>
      <c r="K49" s="1819"/>
      <c r="L49" s="1820"/>
    </row>
    <row r="50" spans="2:18" ht="13" thickBot="1">
      <c r="B50" s="26">
        <v>4</v>
      </c>
      <c r="C50" s="1683" t="str">
        <f>IF('1FComprador'!C50&lt;&gt;"",'1FComprador'!C50,"")</f>
        <v>Sala com Estante Metalon</v>
      </c>
      <c r="D50" s="1683"/>
      <c r="E50" s="1683"/>
      <c r="F50" s="1683"/>
      <c r="G50" s="1819" t="str">
        <f>IF('1FComprador'!G50&lt;&gt;"",'1FComprador'!G50,"")</f>
        <v/>
      </c>
      <c r="H50" s="1819"/>
      <c r="I50" s="1819"/>
      <c r="J50" s="1819"/>
      <c r="K50" s="1819"/>
      <c r="L50" s="1820"/>
    </row>
    <row r="51" spans="2:18" ht="13" thickBot="1">
      <c r="B51" s="26">
        <v>5</v>
      </c>
      <c r="C51" s="1683" t="str">
        <f>IF('1FComprador'!C51&lt;&gt;"",'1FComprador'!C51,"")</f>
        <v xml:space="preserve">  </v>
      </c>
      <c r="D51" s="1683"/>
      <c r="E51" s="1683"/>
      <c r="F51" s="1683"/>
      <c r="G51" s="1819" t="str">
        <f>IF('1FComprador'!G51&lt;&gt;"",'1FComprador'!G51,"")</f>
        <v/>
      </c>
      <c r="H51" s="1819"/>
      <c r="I51" s="1819"/>
      <c r="J51" s="1819"/>
      <c r="K51" s="1819"/>
      <c r="L51" s="1820"/>
    </row>
    <row r="52" spans="2:18" ht="13" thickBot="1">
      <c r="B52" s="47">
        <v>6</v>
      </c>
      <c r="C52" s="1683" t="str">
        <f>IF('1FComprador'!C52&lt;&gt;"",'1FComprador'!C52,"")</f>
        <v xml:space="preserve">  </v>
      </c>
      <c r="D52" s="1683"/>
      <c r="E52" s="1683"/>
      <c r="F52" s="1683"/>
      <c r="G52" s="1819" t="str">
        <f>IF('1FComprador'!G52&lt;&gt;"",'1FComprador'!G52,"")</f>
        <v/>
      </c>
      <c r="H52" s="1819"/>
      <c r="I52" s="1819"/>
      <c r="J52" s="1819"/>
      <c r="K52" s="1819"/>
      <c r="L52" s="1820"/>
    </row>
    <row r="53" spans="2:18" ht="13" thickBot="1">
      <c r="B53" s="1388" t="str">
        <f>'1FComprador'!B53</f>
        <v>OBSERVAÇÃO DO AMBIENTE NA MONTAGEM PARA O MONTADOR</v>
      </c>
      <c r="C53" s="1825"/>
      <c r="D53" s="1825"/>
      <c r="E53" s="1825"/>
      <c r="F53" s="1825"/>
      <c r="G53" s="1825"/>
      <c r="H53" s="1825"/>
      <c r="I53" s="1825"/>
      <c r="J53" s="1825"/>
      <c r="K53" s="1825"/>
      <c r="L53" s="1389"/>
      <c r="R53" s="117"/>
    </row>
    <row r="54" spans="2:18" ht="13" thickBot="1">
      <c r="B54" s="110">
        <v>1</v>
      </c>
      <c r="C54" s="1781" t="str">
        <f>IF('1FComprador'!C54&lt;&gt;"",'1FComprador'!C54,"")</f>
        <v/>
      </c>
      <c r="D54" s="1782"/>
      <c r="E54" s="1782"/>
      <c r="F54" s="1782"/>
      <c r="G54" s="1782"/>
      <c r="H54" s="1782"/>
      <c r="I54" s="1782"/>
      <c r="J54" s="1782"/>
      <c r="K54" s="1782"/>
      <c r="L54" s="1783"/>
      <c r="R54" s="681"/>
    </row>
    <row r="55" spans="2:18" ht="13" thickBot="1">
      <c r="B55" s="111">
        <v>2</v>
      </c>
      <c r="C55" s="1781" t="str">
        <f>IF('1FComprador'!C55&lt;&gt;"",'1FComprador'!C55,"")</f>
        <v/>
      </c>
      <c r="D55" s="1782"/>
      <c r="E55" s="1782"/>
      <c r="F55" s="1782"/>
      <c r="G55" s="1782"/>
      <c r="H55" s="1782"/>
      <c r="I55" s="1782"/>
      <c r="J55" s="1782"/>
      <c r="K55" s="1782"/>
      <c r="L55" s="1783"/>
    </row>
    <row r="56" spans="2:18" ht="13" thickBot="1">
      <c r="B56" s="111">
        <v>3</v>
      </c>
      <c r="C56" s="1781" t="str">
        <f>IF('1FComprador'!C56&lt;&gt;"",'1FComprador'!C56,"")</f>
        <v/>
      </c>
      <c r="D56" s="1782"/>
      <c r="E56" s="1782"/>
      <c r="F56" s="1782"/>
      <c r="G56" s="1782"/>
      <c r="H56" s="1782"/>
      <c r="I56" s="1782"/>
      <c r="J56" s="1782"/>
      <c r="K56" s="1782"/>
      <c r="L56" s="1783"/>
    </row>
    <row r="57" spans="2:18" ht="13" thickBot="1">
      <c r="B57" s="111">
        <v>4</v>
      </c>
      <c r="C57" s="1781" t="str">
        <f>IF('1FComprador'!C57&lt;&gt;"",'1FComprador'!C57,"")</f>
        <v/>
      </c>
      <c r="D57" s="1782"/>
      <c r="E57" s="1782"/>
      <c r="F57" s="1782"/>
      <c r="G57" s="1782"/>
      <c r="H57" s="1782"/>
      <c r="I57" s="1782"/>
      <c r="J57" s="1782"/>
      <c r="K57" s="1782"/>
      <c r="L57" s="1783"/>
    </row>
    <row r="58" spans="2:18" ht="13" thickBot="1">
      <c r="B58" s="111">
        <v>5</v>
      </c>
      <c r="C58" s="1781" t="str">
        <f>IF('1FComprador'!C58&lt;&gt;"",'1FComprador'!C58,"")</f>
        <v/>
      </c>
      <c r="D58" s="1782"/>
      <c r="E58" s="1782"/>
      <c r="F58" s="1782"/>
      <c r="G58" s="1782"/>
      <c r="H58" s="1782"/>
      <c r="I58" s="1782"/>
      <c r="J58" s="1782"/>
      <c r="K58" s="1782"/>
      <c r="L58" s="1783"/>
    </row>
    <row r="59" spans="2:18">
      <c r="B59" s="111">
        <v>6</v>
      </c>
      <c r="C59" s="1781" t="str">
        <f>IF('1FComprador'!C59&lt;&gt;"",'1FComprador'!C59,"")</f>
        <v/>
      </c>
      <c r="D59" s="1782"/>
      <c r="E59" s="1782"/>
      <c r="F59" s="1782"/>
      <c r="G59" s="1782"/>
      <c r="H59" s="1782"/>
      <c r="I59" s="1782"/>
      <c r="J59" s="1782"/>
      <c r="K59" s="1782"/>
      <c r="L59" s="1783"/>
    </row>
    <row r="60" spans="2:18">
      <c r="B60" s="139"/>
      <c r="L60" s="140"/>
    </row>
    <row r="61" spans="2:18">
      <c r="B61" s="139"/>
      <c r="L61" s="140"/>
    </row>
    <row r="62" spans="2:18">
      <c r="B62" s="141"/>
      <c r="C62" s="142"/>
      <c r="D62" s="142"/>
      <c r="E62" s="142"/>
      <c r="F62" s="142"/>
      <c r="H62" s="142"/>
      <c r="I62" s="142"/>
      <c r="J62" s="142"/>
      <c r="K62" s="142"/>
      <c r="L62" s="143"/>
    </row>
    <row r="63" spans="2:18" ht="15" customHeight="1" thickBot="1">
      <c r="B63" s="1826" t="str">
        <f>'1FComprador'!B63:C63</f>
        <v>Contratada :</v>
      </c>
      <c r="C63" s="1827"/>
      <c r="D63" s="1828" t="str">
        <f>E3</f>
        <v>Razão Social da Loja</v>
      </c>
      <c r="E63" s="1828"/>
      <c r="F63" s="1828"/>
      <c r="G63" s="308"/>
      <c r="H63" s="309" t="str">
        <f>'1FComprador'!H63</f>
        <v>Contratante:</v>
      </c>
      <c r="I63" s="1829" t="str">
        <f>'1FComprador'!I63:L63</f>
        <v/>
      </c>
      <c r="J63" s="1829"/>
      <c r="K63" s="1829"/>
      <c r="L63" s="1830"/>
    </row>
    <row r="64" spans="2:18" ht="11.25" customHeight="1" thickBot="1">
      <c r="B64" s="1668" t="s">
        <v>417</v>
      </c>
      <c r="C64" s="1668"/>
      <c r="D64" s="342"/>
      <c r="E64" s="342"/>
      <c r="F64" s="342"/>
      <c r="G64" s="343" t="s">
        <v>418</v>
      </c>
      <c r="H64" s="1662" t="str">
        <f>'0F Lj'!D80</f>
        <v xml:space="preserve"> Sistema ByDesigner Desenvolvido Neri (21) 97014-2420</v>
      </c>
      <c r="I64" s="1662"/>
      <c r="J64" s="1662"/>
      <c r="K64" s="1662"/>
      <c r="L64" s="1662"/>
    </row>
    <row r="65" spans="2:12" ht="12.75" customHeight="1">
      <c r="B65" s="1397" t="s">
        <v>124</v>
      </c>
      <c r="C65" s="1398"/>
      <c r="D65" s="1399"/>
      <c r="E65" s="1400" t="str">
        <f>E3</f>
        <v>Razão Social da Loja</v>
      </c>
      <c r="F65" s="1401"/>
      <c r="G65" s="1401"/>
      <c r="H65" s="1401"/>
      <c r="I65" s="1401"/>
      <c r="J65" s="1402"/>
      <c r="K65" s="1816"/>
      <c r="L65" s="1399"/>
    </row>
    <row r="66" spans="2:12" ht="13">
      <c r="B66" s="1403" t="s">
        <v>125</v>
      </c>
      <c r="C66" s="1404"/>
      <c r="D66" s="1405"/>
      <c r="E66" s="1414" t="str">
        <f>E4</f>
        <v>Nome Fantasia Loja</v>
      </c>
      <c r="F66" s="1415"/>
      <c r="G66" s="1415"/>
      <c r="H66" s="1415"/>
      <c r="I66" s="1415"/>
      <c r="J66" s="1416"/>
      <c r="K66" s="1412" t="s">
        <v>126</v>
      </c>
      <c r="L66" s="1413"/>
    </row>
    <row r="67" spans="2:12">
      <c r="B67" s="1421" t="s">
        <v>127</v>
      </c>
      <c r="C67" s="1404"/>
      <c r="D67" s="1405"/>
      <c r="E67" s="1410" t="str">
        <f>E5</f>
        <v>CNPJ da Loja</v>
      </c>
      <c r="F67" s="1411"/>
      <c r="G67" s="1411"/>
      <c r="H67" s="1417" t="str">
        <f>H5</f>
        <v>Inscrição da loja</v>
      </c>
      <c r="I67" s="1417"/>
      <c r="J67" s="1418"/>
      <c r="K67" s="1422" t="str">
        <f>K5</f>
        <v>DG-0625-01</v>
      </c>
      <c r="L67" s="1405"/>
    </row>
    <row r="68" spans="2:12" ht="13">
      <c r="B68" s="1403" t="s">
        <v>128</v>
      </c>
      <c r="C68" s="1404"/>
      <c r="D68" s="1405"/>
      <c r="E68" s="1414" t="str">
        <f>'1FComprador'!E6:J6</f>
        <v>Endereço da Loja</v>
      </c>
      <c r="F68" s="1415"/>
      <c r="G68" s="1415"/>
      <c r="H68" s="1415"/>
      <c r="I68" s="1415"/>
      <c r="J68" s="1416"/>
      <c r="K68" s="1406" t="s">
        <v>129</v>
      </c>
      <c r="L68" s="1407"/>
    </row>
    <row r="69" spans="2:12">
      <c r="B69" s="1421" t="s">
        <v>130</v>
      </c>
      <c r="C69" s="1404"/>
      <c r="D69" s="1404"/>
      <c r="E69" s="1421" t="str">
        <f>'1FComprador'!E7:G7</f>
        <v>Bairro da loja</v>
      </c>
      <c r="F69" s="1422"/>
      <c r="G69" s="1422"/>
      <c r="H69" s="1422" t="s">
        <v>419</v>
      </c>
      <c r="I69" s="1422"/>
      <c r="J69" s="1423"/>
      <c r="K69" s="1821">
        <f ca="1">'1FComprador'!K7</f>
        <v>46153</v>
      </c>
      <c r="L69" s="1822"/>
    </row>
    <row r="70" spans="2:12" ht="14">
      <c r="B70" s="1403" t="s">
        <v>131</v>
      </c>
      <c r="C70" s="1404"/>
      <c r="D70" s="1405"/>
      <c r="E70" s="1797" t="str">
        <f>'1FComprador'!E8:J8</f>
        <v>E-mail da Loja</v>
      </c>
      <c r="F70" s="1798"/>
      <c r="G70" s="1798"/>
      <c r="H70" s="1798"/>
      <c r="I70" s="1798"/>
      <c r="J70" s="1769"/>
      <c r="K70" s="292" t="s">
        <v>18</v>
      </c>
      <c r="L70" s="291">
        <f>'1FComprador'!$L$8</f>
        <v>1</v>
      </c>
    </row>
    <row r="71" spans="2:12" ht="13" thickBot="1">
      <c r="B71" s="1375" t="str">
        <f>'1FComprador'!B9:D9</f>
        <v>Vendedor 1</v>
      </c>
      <c r="C71" s="1376"/>
      <c r="D71" s="1377"/>
      <c r="E71" s="1375" t="str">
        <f>'1FComprador'!E9:J9</f>
        <v>Vendedor(a) Projetista : Vendedor 1</v>
      </c>
      <c r="F71" s="1376"/>
      <c r="G71" s="1376"/>
      <c r="H71" s="1376"/>
      <c r="I71" s="1376"/>
      <c r="J71" s="1377"/>
      <c r="K71" s="1753" t="str">
        <f>'1FComprador'!$K$9</f>
        <v>Local da loja</v>
      </c>
      <c r="L71" s="1409"/>
    </row>
    <row r="72" spans="2:12">
      <c r="B72" s="344"/>
      <c r="C72" s="345"/>
      <c r="D72" s="345"/>
      <c r="E72" s="345"/>
      <c r="F72" s="345"/>
      <c r="G72" s="345"/>
      <c r="H72" s="345"/>
      <c r="I72" s="345"/>
      <c r="J72" s="345"/>
      <c r="K72" s="345"/>
      <c r="L72" s="346"/>
    </row>
    <row r="73" spans="2:12" ht="15.5">
      <c r="B73" s="1870" t="s">
        <v>420</v>
      </c>
      <c r="C73" s="1871"/>
      <c r="D73" s="1871"/>
      <c r="E73" s="1871"/>
      <c r="F73" s="1871"/>
      <c r="G73" s="1871"/>
      <c r="H73" s="1871"/>
      <c r="I73" s="1871"/>
      <c r="J73" s="1871"/>
      <c r="K73" s="1871"/>
      <c r="L73" s="1872"/>
    </row>
    <row r="74" spans="2:12" ht="15" customHeight="1">
      <c r="B74" s="1788" t="s">
        <v>421</v>
      </c>
      <c r="C74" s="1789"/>
      <c r="D74" s="1789"/>
      <c r="E74" s="1789"/>
      <c r="F74" s="1789"/>
      <c r="G74" s="1789"/>
      <c r="H74" s="1789"/>
      <c r="I74" s="1789"/>
      <c r="J74" s="1789"/>
      <c r="K74" s="1789"/>
      <c r="L74" s="1790"/>
    </row>
    <row r="75" spans="2:12">
      <c r="B75" s="1791"/>
      <c r="C75" s="1792"/>
      <c r="D75" s="1792"/>
      <c r="E75" s="1792"/>
      <c r="F75" s="1792"/>
      <c r="G75" s="1792"/>
      <c r="H75" s="1792"/>
      <c r="I75" s="1792"/>
      <c r="J75" s="1792"/>
      <c r="K75" s="1792"/>
      <c r="L75" s="1793"/>
    </row>
    <row r="76" spans="2:12">
      <c r="B76" s="1791"/>
      <c r="C76" s="1792"/>
      <c r="D76" s="1792"/>
      <c r="E76" s="1792"/>
      <c r="F76" s="1792"/>
      <c r="G76" s="1792"/>
      <c r="H76" s="1792"/>
      <c r="I76" s="1792"/>
      <c r="J76" s="1792"/>
      <c r="K76" s="1792"/>
      <c r="L76" s="1793"/>
    </row>
    <row r="77" spans="2:12">
      <c r="B77" s="1791"/>
      <c r="C77" s="1792"/>
      <c r="D77" s="1792"/>
      <c r="E77" s="1792"/>
      <c r="F77" s="1792"/>
      <c r="G77" s="1792"/>
      <c r="H77" s="1792"/>
      <c r="I77" s="1792"/>
      <c r="J77" s="1792"/>
      <c r="K77" s="1792"/>
      <c r="L77" s="1793"/>
    </row>
    <row r="78" spans="2:12">
      <c r="B78" s="1791"/>
      <c r="C78" s="1792"/>
      <c r="D78" s="1792"/>
      <c r="E78" s="1792"/>
      <c r="F78" s="1792"/>
      <c r="G78" s="1792"/>
      <c r="H78" s="1792"/>
      <c r="I78" s="1792"/>
      <c r="J78" s="1792"/>
      <c r="K78" s="1792"/>
      <c r="L78" s="1793"/>
    </row>
    <row r="79" spans="2:12">
      <c r="B79" s="1791"/>
      <c r="C79" s="1792"/>
      <c r="D79" s="1792"/>
      <c r="E79" s="1792"/>
      <c r="F79" s="1792"/>
      <c r="G79" s="1792"/>
      <c r="H79" s="1792"/>
      <c r="I79" s="1792"/>
      <c r="J79" s="1792"/>
      <c r="K79" s="1792"/>
      <c r="L79" s="1793"/>
    </row>
    <row r="80" spans="2:12">
      <c r="B80" s="1791"/>
      <c r="C80" s="1792"/>
      <c r="D80" s="1792"/>
      <c r="E80" s="1792"/>
      <c r="F80" s="1792"/>
      <c r="G80" s="1792"/>
      <c r="H80" s="1792"/>
      <c r="I80" s="1792"/>
      <c r="J80" s="1792"/>
      <c r="K80" s="1792"/>
      <c r="L80" s="1793"/>
    </row>
    <row r="81" spans="2:12">
      <c r="B81" s="1791"/>
      <c r="C81" s="1792"/>
      <c r="D81" s="1792"/>
      <c r="E81" s="1792"/>
      <c r="F81" s="1792"/>
      <c r="G81" s="1792"/>
      <c r="H81" s="1792"/>
      <c r="I81" s="1792"/>
      <c r="J81" s="1792"/>
      <c r="K81" s="1792"/>
      <c r="L81" s="1793"/>
    </row>
    <row r="82" spans="2:12">
      <c r="B82" s="1791"/>
      <c r="C82" s="1792"/>
      <c r="D82" s="1792"/>
      <c r="E82" s="1792"/>
      <c r="F82" s="1792"/>
      <c r="G82" s="1792"/>
      <c r="H82" s="1792"/>
      <c r="I82" s="1792"/>
      <c r="J82" s="1792"/>
      <c r="K82" s="1792"/>
      <c r="L82" s="1793"/>
    </row>
    <row r="83" spans="2:12">
      <c r="B83" s="1791"/>
      <c r="C83" s="1792"/>
      <c r="D83" s="1792"/>
      <c r="E83" s="1792"/>
      <c r="F83" s="1792"/>
      <c r="G83" s="1792"/>
      <c r="H83" s="1792"/>
      <c r="I83" s="1792"/>
      <c r="J83" s="1792"/>
      <c r="K83" s="1792"/>
      <c r="L83" s="1793"/>
    </row>
    <row r="84" spans="2:12">
      <c r="B84" s="1791"/>
      <c r="C84" s="1792"/>
      <c r="D84" s="1792"/>
      <c r="E84" s="1792"/>
      <c r="F84" s="1792"/>
      <c r="G84" s="1792"/>
      <c r="H84" s="1792"/>
      <c r="I84" s="1792"/>
      <c r="J84" s="1792"/>
      <c r="K84" s="1792"/>
      <c r="L84" s="1793"/>
    </row>
    <row r="85" spans="2:12">
      <c r="B85" s="1791"/>
      <c r="C85" s="1792"/>
      <c r="D85" s="1792"/>
      <c r="E85" s="1792"/>
      <c r="F85" s="1792"/>
      <c r="G85" s="1792"/>
      <c r="H85" s="1792"/>
      <c r="I85" s="1792"/>
      <c r="J85" s="1792"/>
      <c r="K85" s="1792"/>
      <c r="L85" s="1793"/>
    </row>
    <row r="86" spans="2:12">
      <c r="B86" s="1791"/>
      <c r="C86" s="1792"/>
      <c r="D86" s="1792"/>
      <c r="E86" s="1792"/>
      <c r="F86" s="1792"/>
      <c r="G86" s="1792"/>
      <c r="H86" s="1792"/>
      <c r="I86" s="1792"/>
      <c r="J86" s="1792"/>
      <c r="K86" s="1792"/>
      <c r="L86" s="1793"/>
    </row>
    <row r="87" spans="2:12">
      <c r="B87" s="1791"/>
      <c r="C87" s="1792"/>
      <c r="D87" s="1792"/>
      <c r="E87" s="1792"/>
      <c r="F87" s="1792"/>
      <c r="G87" s="1792"/>
      <c r="H87" s="1792"/>
      <c r="I87" s="1792"/>
      <c r="J87" s="1792"/>
      <c r="K87" s="1792"/>
      <c r="L87" s="1793"/>
    </row>
    <row r="88" spans="2:12">
      <c r="B88" s="1791"/>
      <c r="C88" s="1792"/>
      <c r="D88" s="1792"/>
      <c r="E88" s="1792"/>
      <c r="F88" s="1792"/>
      <c r="G88" s="1792"/>
      <c r="H88" s="1792"/>
      <c r="I88" s="1792"/>
      <c r="J88" s="1792"/>
      <c r="K88" s="1792"/>
      <c r="L88" s="1793"/>
    </row>
    <row r="89" spans="2:12">
      <c r="B89" s="1791"/>
      <c r="C89" s="1792"/>
      <c r="D89" s="1792"/>
      <c r="E89" s="1792"/>
      <c r="F89" s="1792"/>
      <c r="G89" s="1792"/>
      <c r="H89" s="1792"/>
      <c r="I89" s="1792"/>
      <c r="J89" s="1792"/>
      <c r="K89" s="1792"/>
      <c r="L89" s="1793"/>
    </row>
    <row r="90" spans="2:12">
      <c r="B90" s="1791"/>
      <c r="C90" s="1792"/>
      <c r="D90" s="1792"/>
      <c r="E90" s="1792"/>
      <c r="F90" s="1792"/>
      <c r="G90" s="1792"/>
      <c r="H90" s="1792"/>
      <c r="I90" s="1792"/>
      <c r="J90" s="1792"/>
      <c r="K90" s="1792"/>
      <c r="L90" s="1793"/>
    </row>
    <row r="91" spans="2:12">
      <c r="B91" s="1791"/>
      <c r="C91" s="1792"/>
      <c r="D91" s="1792"/>
      <c r="E91" s="1792"/>
      <c r="F91" s="1792"/>
      <c r="G91" s="1792"/>
      <c r="H91" s="1792"/>
      <c r="I91" s="1792"/>
      <c r="J91" s="1792"/>
      <c r="K91" s="1792"/>
      <c r="L91" s="1793"/>
    </row>
    <row r="92" spans="2:12">
      <c r="B92" s="1791"/>
      <c r="C92" s="1792"/>
      <c r="D92" s="1792"/>
      <c r="E92" s="1792"/>
      <c r="F92" s="1792"/>
      <c r="G92" s="1792"/>
      <c r="H92" s="1792"/>
      <c r="I92" s="1792"/>
      <c r="J92" s="1792"/>
      <c r="K92" s="1792"/>
      <c r="L92" s="1793"/>
    </row>
    <row r="93" spans="2:12">
      <c r="B93" s="1791"/>
      <c r="C93" s="1792"/>
      <c r="D93" s="1792"/>
      <c r="E93" s="1792"/>
      <c r="F93" s="1792"/>
      <c r="G93" s="1792"/>
      <c r="H93" s="1792"/>
      <c r="I93" s="1792"/>
      <c r="J93" s="1792"/>
      <c r="K93" s="1792"/>
      <c r="L93" s="1793"/>
    </row>
    <row r="94" spans="2:12">
      <c r="B94" s="1791"/>
      <c r="C94" s="1792"/>
      <c r="D94" s="1792"/>
      <c r="E94" s="1792"/>
      <c r="F94" s="1792"/>
      <c r="G94" s="1792"/>
      <c r="H94" s="1792"/>
      <c r="I94" s="1792"/>
      <c r="J94" s="1792"/>
      <c r="K94" s="1792"/>
      <c r="L94" s="1793"/>
    </row>
    <row r="95" spans="2:12">
      <c r="B95" s="1791"/>
      <c r="C95" s="1792"/>
      <c r="D95" s="1792"/>
      <c r="E95" s="1792"/>
      <c r="F95" s="1792"/>
      <c r="G95" s="1792"/>
      <c r="H95" s="1792"/>
      <c r="I95" s="1792"/>
      <c r="J95" s="1792"/>
      <c r="K95" s="1792"/>
      <c r="L95" s="1793"/>
    </row>
    <row r="96" spans="2:12">
      <c r="B96" s="1791"/>
      <c r="C96" s="1792"/>
      <c r="D96" s="1792"/>
      <c r="E96" s="1792"/>
      <c r="F96" s="1792"/>
      <c r="G96" s="1792"/>
      <c r="H96" s="1792"/>
      <c r="I96" s="1792"/>
      <c r="J96" s="1792"/>
      <c r="K96" s="1792"/>
      <c r="L96" s="1793"/>
    </row>
    <row r="97" spans="2:12">
      <c r="B97" s="1791"/>
      <c r="C97" s="1792"/>
      <c r="D97" s="1792"/>
      <c r="E97" s="1792"/>
      <c r="F97" s="1792"/>
      <c r="G97" s="1792"/>
      <c r="H97" s="1792"/>
      <c r="I97" s="1792"/>
      <c r="J97" s="1792"/>
      <c r="K97" s="1792"/>
      <c r="L97" s="1793"/>
    </row>
    <row r="98" spans="2:12">
      <c r="B98" s="1791"/>
      <c r="C98" s="1792"/>
      <c r="D98" s="1792"/>
      <c r="E98" s="1792"/>
      <c r="F98" s="1792"/>
      <c r="G98" s="1792"/>
      <c r="H98" s="1792"/>
      <c r="I98" s="1792"/>
      <c r="J98" s="1792"/>
      <c r="K98" s="1792"/>
      <c r="L98" s="1793"/>
    </row>
    <row r="99" spans="2:12">
      <c r="B99" s="1791"/>
      <c r="C99" s="1792"/>
      <c r="D99" s="1792"/>
      <c r="E99" s="1792"/>
      <c r="F99" s="1792"/>
      <c r="G99" s="1792"/>
      <c r="H99" s="1792"/>
      <c r="I99" s="1792"/>
      <c r="J99" s="1792"/>
      <c r="K99" s="1792"/>
      <c r="L99" s="1793"/>
    </row>
    <row r="100" spans="2:12">
      <c r="B100" s="1791"/>
      <c r="C100" s="1792"/>
      <c r="D100" s="1792"/>
      <c r="E100" s="1792"/>
      <c r="F100" s="1792"/>
      <c r="G100" s="1792"/>
      <c r="H100" s="1792"/>
      <c r="I100" s="1792"/>
      <c r="J100" s="1792"/>
      <c r="K100" s="1792"/>
      <c r="L100" s="1793"/>
    </row>
    <row r="101" spans="2:12">
      <c r="B101" s="1791"/>
      <c r="C101" s="1792"/>
      <c r="D101" s="1792"/>
      <c r="E101" s="1792"/>
      <c r="F101" s="1792"/>
      <c r="G101" s="1792"/>
      <c r="H101" s="1792"/>
      <c r="I101" s="1792"/>
      <c r="J101" s="1792"/>
      <c r="K101" s="1792"/>
      <c r="L101" s="1793"/>
    </row>
    <row r="102" spans="2:12">
      <c r="B102" s="1791"/>
      <c r="C102" s="1792"/>
      <c r="D102" s="1792"/>
      <c r="E102" s="1792"/>
      <c r="F102" s="1792"/>
      <c r="G102" s="1792"/>
      <c r="H102" s="1792"/>
      <c r="I102" s="1792"/>
      <c r="J102" s="1792"/>
      <c r="K102" s="1792"/>
      <c r="L102" s="1793"/>
    </row>
    <row r="103" spans="2:12">
      <c r="B103" s="1791"/>
      <c r="C103" s="1792"/>
      <c r="D103" s="1792"/>
      <c r="E103" s="1792"/>
      <c r="F103" s="1792"/>
      <c r="G103" s="1792"/>
      <c r="H103" s="1792"/>
      <c r="I103" s="1792"/>
      <c r="J103" s="1792"/>
      <c r="K103" s="1792"/>
      <c r="L103" s="1793"/>
    </row>
    <row r="104" spans="2:12">
      <c r="B104" s="1791"/>
      <c r="C104" s="1792"/>
      <c r="D104" s="1792"/>
      <c r="E104" s="1792"/>
      <c r="F104" s="1792"/>
      <c r="G104" s="1792"/>
      <c r="H104" s="1792"/>
      <c r="I104" s="1792"/>
      <c r="J104" s="1792"/>
      <c r="K104" s="1792"/>
      <c r="L104" s="1793"/>
    </row>
    <row r="105" spans="2:12">
      <c r="B105" s="1791"/>
      <c r="C105" s="1792"/>
      <c r="D105" s="1792"/>
      <c r="E105" s="1792"/>
      <c r="F105" s="1792"/>
      <c r="G105" s="1792"/>
      <c r="H105" s="1792"/>
      <c r="I105" s="1792"/>
      <c r="J105" s="1792"/>
      <c r="K105" s="1792"/>
      <c r="L105" s="1793"/>
    </row>
    <row r="106" spans="2:12">
      <c r="B106" s="1791"/>
      <c r="C106" s="1792"/>
      <c r="D106" s="1792"/>
      <c r="E106" s="1792"/>
      <c r="F106" s="1792"/>
      <c r="G106" s="1792"/>
      <c r="H106" s="1792"/>
      <c r="I106" s="1792"/>
      <c r="J106" s="1792"/>
      <c r="K106" s="1792"/>
      <c r="L106" s="1793"/>
    </row>
    <row r="107" spans="2:12">
      <c r="B107" s="1791"/>
      <c r="C107" s="1792"/>
      <c r="D107" s="1792"/>
      <c r="E107" s="1792"/>
      <c r="F107" s="1792"/>
      <c r="G107" s="1792"/>
      <c r="H107" s="1792"/>
      <c r="I107" s="1792"/>
      <c r="J107" s="1792"/>
      <c r="K107" s="1792"/>
      <c r="L107" s="1793"/>
    </row>
    <row r="108" spans="2:12">
      <c r="B108" s="1791"/>
      <c r="C108" s="1792"/>
      <c r="D108" s="1792"/>
      <c r="E108" s="1792"/>
      <c r="F108" s="1792"/>
      <c r="G108" s="1792"/>
      <c r="H108" s="1792"/>
      <c r="I108" s="1792"/>
      <c r="J108" s="1792"/>
      <c r="K108" s="1792"/>
      <c r="L108" s="1793"/>
    </row>
    <row r="109" spans="2:12">
      <c r="B109" s="1791"/>
      <c r="C109" s="1792"/>
      <c r="D109" s="1792"/>
      <c r="E109" s="1792"/>
      <c r="F109" s="1792"/>
      <c r="G109" s="1792"/>
      <c r="H109" s="1792"/>
      <c r="I109" s="1792"/>
      <c r="J109" s="1792"/>
      <c r="K109" s="1792"/>
      <c r="L109" s="1793"/>
    </row>
    <row r="110" spans="2:12">
      <c r="B110" s="1791"/>
      <c r="C110" s="1792"/>
      <c r="D110" s="1792"/>
      <c r="E110" s="1792"/>
      <c r="F110" s="1792"/>
      <c r="G110" s="1792"/>
      <c r="H110" s="1792"/>
      <c r="I110" s="1792"/>
      <c r="J110" s="1792"/>
      <c r="K110" s="1792"/>
      <c r="L110" s="1793"/>
    </row>
    <row r="111" spans="2:12">
      <c r="B111" s="1791"/>
      <c r="C111" s="1792"/>
      <c r="D111" s="1792"/>
      <c r="E111" s="1792"/>
      <c r="F111" s="1792"/>
      <c r="G111" s="1792"/>
      <c r="H111" s="1792"/>
      <c r="I111" s="1792"/>
      <c r="J111" s="1792"/>
      <c r="K111" s="1792"/>
      <c r="L111" s="1793"/>
    </row>
    <row r="112" spans="2:12">
      <c r="B112" s="1791"/>
      <c r="C112" s="1792"/>
      <c r="D112" s="1792"/>
      <c r="E112" s="1792"/>
      <c r="F112" s="1792"/>
      <c r="G112" s="1792"/>
      <c r="H112" s="1792"/>
      <c r="I112" s="1792"/>
      <c r="J112" s="1792"/>
      <c r="K112" s="1792"/>
      <c r="L112" s="1793"/>
    </row>
    <row r="113" spans="2:12">
      <c r="B113" s="1791"/>
      <c r="C113" s="1792"/>
      <c r="D113" s="1792"/>
      <c r="E113" s="1792"/>
      <c r="F113" s="1792"/>
      <c r="G113" s="1792"/>
      <c r="H113" s="1792"/>
      <c r="I113" s="1792"/>
      <c r="J113" s="1792"/>
      <c r="K113" s="1792"/>
      <c r="L113" s="1793"/>
    </row>
    <row r="114" spans="2:12">
      <c r="B114" s="1791"/>
      <c r="C114" s="1792"/>
      <c r="D114" s="1792"/>
      <c r="E114" s="1792"/>
      <c r="F114" s="1792"/>
      <c r="G114" s="1792"/>
      <c r="H114" s="1792"/>
      <c r="I114" s="1792"/>
      <c r="J114" s="1792"/>
      <c r="K114" s="1792"/>
      <c r="L114" s="1793"/>
    </row>
    <row r="115" spans="2:12">
      <c r="B115" s="1791"/>
      <c r="C115" s="1792"/>
      <c r="D115" s="1792"/>
      <c r="E115" s="1792"/>
      <c r="F115" s="1792"/>
      <c r="G115" s="1792"/>
      <c r="H115" s="1792"/>
      <c r="I115" s="1792"/>
      <c r="J115" s="1792"/>
      <c r="K115" s="1792"/>
      <c r="L115" s="1793"/>
    </row>
    <row r="116" spans="2:12">
      <c r="B116" s="1791"/>
      <c r="C116" s="1792"/>
      <c r="D116" s="1792"/>
      <c r="E116" s="1792"/>
      <c r="F116" s="1792"/>
      <c r="G116" s="1792"/>
      <c r="H116" s="1792"/>
      <c r="I116" s="1792"/>
      <c r="J116" s="1792"/>
      <c r="K116" s="1792"/>
      <c r="L116" s="1793"/>
    </row>
    <row r="117" spans="2:12">
      <c r="B117" s="1791"/>
      <c r="C117" s="1792"/>
      <c r="D117" s="1792"/>
      <c r="E117" s="1792"/>
      <c r="F117" s="1792"/>
      <c r="G117" s="1792"/>
      <c r="H117" s="1792"/>
      <c r="I117" s="1792"/>
      <c r="J117" s="1792"/>
      <c r="K117" s="1792"/>
      <c r="L117" s="1793"/>
    </row>
    <row r="118" spans="2:12">
      <c r="B118" s="1791"/>
      <c r="C118" s="1792"/>
      <c r="D118" s="1792"/>
      <c r="E118" s="1792"/>
      <c r="F118" s="1792"/>
      <c r="G118" s="1792"/>
      <c r="H118" s="1792"/>
      <c r="I118" s="1792"/>
      <c r="J118" s="1792"/>
      <c r="K118" s="1792"/>
      <c r="L118" s="1793"/>
    </row>
    <row r="119" spans="2:12">
      <c r="B119" s="1791"/>
      <c r="C119" s="1792"/>
      <c r="D119" s="1792"/>
      <c r="E119" s="1792"/>
      <c r="F119" s="1792"/>
      <c r="G119" s="1792"/>
      <c r="H119" s="1792"/>
      <c r="I119" s="1792"/>
      <c r="J119" s="1792"/>
      <c r="K119" s="1792"/>
      <c r="L119" s="1793"/>
    </row>
    <row r="120" spans="2:12">
      <c r="B120" s="1791"/>
      <c r="C120" s="1792"/>
      <c r="D120" s="1792"/>
      <c r="E120" s="1792"/>
      <c r="F120" s="1792"/>
      <c r="G120" s="1792"/>
      <c r="H120" s="1792"/>
      <c r="I120" s="1792"/>
      <c r="J120" s="1792"/>
      <c r="K120" s="1792"/>
      <c r="L120" s="1793"/>
    </row>
    <row r="121" spans="2:12">
      <c r="B121" s="1791"/>
      <c r="C121" s="1792"/>
      <c r="D121" s="1792"/>
      <c r="E121" s="1792"/>
      <c r="F121" s="1792"/>
      <c r="G121" s="1792"/>
      <c r="H121" s="1792"/>
      <c r="I121" s="1792"/>
      <c r="J121" s="1792"/>
      <c r="K121" s="1792"/>
      <c r="L121" s="1793"/>
    </row>
    <row r="122" spans="2:12">
      <c r="B122" s="1791"/>
      <c r="C122" s="1792"/>
      <c r="D122" s="1792"/>
      <c r="E122" s="1792"/>
      <c r="F122" s="1792"/>
      <c r="G122" s="1792"/>
      <c r="H122" s="1792"/>
      <c r="I122" s="1792"/>
      <c r="J122" s="1792"/>
      <c r="K122" s="1792"/>
      <c r="L122" s="1793"/>
    </row>
    <row r="123" spans="2:12">
      <c r="B123" s="1791"/>
      <c r="C123" s="1792"/>
      <c r="D123" s="1792"/>
      <c r="E123" s="1792"/>
      <c r="F123" s="1792"/>
      <c r="G123" s="1792"/>
      <c r="H123" s="1792"/>
      <c r="I123" s="1792"/>
      <c r="J123" s="1792"/>
      <c r="K123" s="1792"/>
      <c r="L123" s="1793"/>
    </row>
    <row r="124" spans="2:12">
      <c r="B124" s="1791"/>
      <c r="C124" s="1792"/>
      <c r="D124" s="1792"/>
      <c r="E124" s="1792"/>
      <c r="F124" s="1792"/>
      <c r="G124" s="1792"/>
      <c r="H124" s="1792"/>
      <c r="I124" s="1792"/>
      <c r="J124" s="1792"/>
      <c r="K124" s="1792"/>
      <c r="L124" s="1793"/>
    </row>
    <row r="125" spans="2:12">
      <c r="B125" s="1791"/>
      <c r="C125" s="1792"/>
      <c r="D125" s="1792"/>
      <c r="E125" s="1792"/>
      <c r="F125" s="1792"/>
      <c r="G125" s="1792"/>
      <c r="H125" s="1792"/>
      <c r="I125" s="1792"/>
      <c r="J125" s="1792"/>
      <c r="K125" s="1792"/>
      <c r="L125" s="1793"/>
    </row>
    <row r="126" spans="2:12">
      <c r="B126" s="1791"/>
      <c r="C126" s="1792"/>
      <c r="D126" s="1792"/>
      <c r="E126" s="1792"/>
      <c r="F126" s="1792"/>
      <c r="G126" s="1792"/>
      <c r="H126" s="1792"/>
      <c r="I126" s="1792"/>
      <c r="J126" s="1792"/>
      <c r="K126" s="1792"/>
      <c r="L126" s="1793"/>
    </row>
    <row r="127" spans="2:12">
      <c r="B127" s="1791"/>
      <c r="C127" s="1792"/>
      <c r="D127" s="1792"/>
      <c r="E127" s="1792"/>
      <c r="F127" s="1792"/>
      <c r="G127" s="1792"/>
      <c r="H127" s="1792"/>
      <c r="I127" s="1792"/>
      <c r="J127" s="1792"/>
      <c r="K127" s="1792"/>
      <c r="L127" s="1793"/>
    </row>
    <row r="128" spans="2:12" ht="13" thickBot="1">
      <c r="B128" s="1794"/>
      <c r="C128" s="1795"/>
      <c r="D128" s="1795"/>
      <c r="E128" s="1795"/>
      <c r="F128" s="1795"/>
      <c r="G128" s="1795"/>
      <c r="H128" s="1795"/>
      <c r="I128" s="1795"/>
      <c r="J128" s="1795"/>
      <c r="K128" s="1795"/>
      <c r="L128" s="1796"/>
    </row>
    <row r="129" spans="2:12" ht="13" thickBot="1">
      <c r="B129" s="1668" t="s">
        <v>417</v>
      </c>
      <c r="C129" s="1668"/>
      <c r="D129" s="342"/>
      <c r="E129" s="342"/>
      <c r="F129" s="342"/>
      <c r="G129" s="343" t="s">
        <v>422</v>
      </c>
      <c r="H129" s="1662" t="str">
        <f>H64</f>
        <v xml:space="preserve"> Sistema ByDesigner Desenvolvido Neri (21) 97014-2420</v>
      </c>
      <c r="I129" s="1662"/>
      <c r="J129" s="1662"/>
      <c r="K129" s="1662"/>
      <c r="L129" s="1662"/>
    </row>
    <row r="130" spans="2:12" ht="13">
      <c r="B130" s="1397" t="s">
        <v>124</v>
      </c>
      <c r="C130" s="1398"/>
      <c r="D130" s="1399"/>
      <c r="E130" s="1400" t="str">
        <f>E65</f>
        <v>Razão Social da Loja</v>
      </c>
      <c r="F130" s="1401"/>
      <c r="G130" s="1401"/>
      <c r="H130" s="1401"/>
      <c r="I130" s="1401"/>
      <c r="J130" s="1402"/>
      <c r="K130" s="1816"/>
      <c r="L130" s="1399"/>
    </row>
    <row r="131" spans="2:12" ht="13">
      <c r="B131" s="1403" t="s">
        <v>125</v>
      </c>
      <c r="C131" s="1404"/>
      <c r="D131" s="1405"/>
      <c r="E131" s="1414" t="str">
        <f>E66</f>
        <v>Nome Fantasia Loja</v>
      </c>
      <c r="F131" s="1415"/>
      <c r="G131" s="1415"/>
      <c r="H131" s="1415"/>
      <c r="I131" s="1415"/>
      <c r="J131" s="1416"/>
      <c r="K131" s="1412" t="s">
        <v>126</v>
      </c>
      <c r="L131" s="1413"/>
    </row>
    <row r="132" spans="2:12">
      <c r="B132" s="1421" t="s">
        <v>127</v>
      </c>
      <c r="C132" s="1404"/>
      <c r="D132" s="1405"/>
      <c r="E132" s="1410" t="str">
        <f>E67</f>
        <v>CNPJ da Loja</v>
      </c>
      <c r="F132" s="1411"/>
      <c r="G132" s="1411"/>
      <c r="H132" s="1417" t="str">
        <f>'1FComprador'!H5:J5</f>
        <v>Inscrição da loja</v>
      </c>
      <c r="I132" s="1417"/>
      <c r="J132" s="1418"/>
      <c r="K132" s="1422" t="str">
        <f>K5</f>
        <v>DG-0625-01</v>
      </c>
      <c r="L132" s="1405"/>
    </row>
    <row r="133" spans="2:12" ht="13">
      <c r="B133" s="1403" t="s">
        <v>128</v>
      </c>
      <c r="C133" s="1404"/>
      <c r="D133" s="1405"/>
      <c r="E133" s="1414" t="str">
        <f>'1FComprador'!E6:J6</f>
        <v>Endereço da Loja</v>
      </c>
      <c r="F133" s="1415"/>
      <c r="G133" s="1415"/>
      <c r="H133" s="1415"/>
      <c r="I133" s="1415"/>
      <c r="J133" s="1416"/>
      <c r="K133" s="1406" t="s">
        <v>129</v>
      </c>
      <c r="L133" s="1407"/>
    </row>
    <row r="134" spans="2:12">
      <c r="B134" s="1421" t="s">
        <v>130</v>
      </c>
      <c r="C134" s="1404"/>
      <c r="D134" s="1404"/>
      <c r="E134" s="1421" t="s">
        <v>423</v>
      </c>
      <c r="F134" s="1422"/>
      <c r="G134" s="1422"/>
      <c r="H134" s="1422" t="s">
        <v>419</v>
      </c>
      <c r="I134" s="1422"/>
      <c r="J134" s="1423"/>
      <c r="K134" s="1821">
        <f ca="1">datacontrato</f>
        <v>46153</v>
      </c>
      <c r="L134" s="1822"/>
    </row>
    <row r="135" spans="2:12" ht="14">
      <c r="B135" s="1403" t="s">
        <v>131</v>
      </c>
      <c r="C135" s="1404"/>
      <c r="D135" s="1405"/>
      <c r="E135" s="1797" t="str">
        <f>'1FComprador'!E8:J8</f>
        <v>E-mail da Loja</v>
      </c>
      <c r="F135" s="1798"/>
      <c r="G135" s="1798"/>
      <c r="H135" s="1798"/>
      <c r="I135" s="1798"/>
      <c r="J135" s="1769"/>
      <c r="K135" s="292" t="s">
        <v>18</v>
      </c>
      <c r="L135" s="291">
        <f>'1FComprador'!$L$8</f>
        <v>1</v>
      </c>
    </row>
    <row r="136" spans="2:12" ht="13" thickBot="1">
      <c r="B136" s="1375" t="str">
        <f>'1FComprador'!B9:D9</f>
        <v>Vendedor 1</v>
      </c>
      <c r="C136" s="1376"/>
      <c r="D136" s="1377"/>
      <c r="E136" s="1375" t="str">
        <f>'1FComprador'!E9:J9</f>
        <v>Vendedor(a) Projetista : Vendedor 1</v>
      </c>
      <c r="F136" s="1376"/>
      <c r="G136" s="1376"/>
      <c r="H136" s="1376"/>
      <c r="I136" s="1376"/>
      <c r="J136" s="1377"/>
      <c r="K136" s="1753" t="str">
        <f>'1FComprador'!$K$9</f>
        <v>Local da loja</v>
      </c>
      <c r="L136" s="1409"/>
    </row>
    <row r="137" spans="2:12" ht="13" thickBot="1">
      <c r="B137" s="347"/>
      <c r="C137" s="308"/>
      <c r="D137" s="308"/>
      <c r="E137" s="1376"/>
      <c r="F137" s="1376"/>
      <c r="G137" s="1376"/>
      <c r="H137" s="1376"/>
      <c r="I137" s="1376"/>
      <c r="J137" s="1376"/>
      <c r="K137" s="1817"/>
      <c r="L137" s="1818"/>
    </row>
    <row r="138" spans="2:12">
      <c r="B138" s="1815" t="s">
        <v>424</v>
      </c>
      <c r="C138" s="1807"/>
      <c r="D138" s="1807"/>
      <c r="E138" s="1807"/>
      <c r="F138" s="1807"/>
      <c r="G138" s="1807"/>
      <c r="H138" s="1807"/>
      <c r="I138" s="1807"/>
      <c r="J138" s="1807"/>
      <c r="K138" s="1807"/>
      <c r="L138" s="1808"/>
    </row>
    <row r="139" spans="2:12">
      <c r="B139" s="1806"/>
      <c r="C139" s="1807"/>
      <c r="D139" s="1807"/>
      <c r="E139" s="1807"/>
      <c r="F139" s="1807"/>
      <c r="G139" s="1807"/>
      <c r="H139" s="1807"/>
      <c r="I139" s="1807"/>
      <c r="J139" s="1807"/>
      <c r="K139" s="1807"/>
      <c r="L139" s="1808"/>
    </row>
    <row r="140" spans="2:12">
      <c r="B140" s="1806"/>
      <c r="C140" s="1807"/>
      <c r="D140" s="1807"/>
      <c r="E140" s="1807"/>
      <c r="F140" s="1807"/>
      <c r="G140" s="1807"/>
      <c r="H140" s="1807"/>
      <c r="I140" s="1807"/>
      <c r="J140" s="1807"/>
      <c r="K140" s="1807"/>
      <c r="L140" s="1808"/>
    </row>
    <row r="141" spans="2:12">
      <c r="B141" s="1806"/>
      <c r="C141" s="1807"/>
      <c r="D141" s="1807"/>
      <c r="E141" s="1807"/>
      <c r="F141" s="1807"/>
      <c r="G141" s="1807"/>
      <c r="H141" s="1807"/>
      <c r="I141" s="1807"/>
      <c r="J141" s="1807"/>
      <c r="K141" s="1807"/>
      <c r="L141" s="1808"/>
    </row>
    <row r="142" spans="2:12">
      <c r="B142" s="1806"/>
      <c r="C142" s="1807"/>
      <c r="D142" s="1807"/>
      <c r="E142" s="1807"/>
      <c r="F142" s="1807"/>
      <c r="G142" s="1807"/>
      <c r="H142" s="1807"/>
      <c r="I142" s="1807"/>
      <c r="J142" s="1807"/>
      <c r="K142" s="1807"/>
      <c r="L142" s="1808"/>
    </row>
    <row r="143" spans="2:12">
      <c r="B143" s="1806"/>
      <c r="C143" s="1807"/>
      <c r="D143" s="1807"/>
      <c r="E143" s="1807"/>
      <c r="F143" s="1807"/>
      <c r="G143" s="1807"/>
      <c r="H143" s="1807"/>
      <c r="I143" s="1807"/>
      <c r="J143" s="1807"/>
      <c r="K143" s="1807"/>
      <c r="L143" s="1808"/>
    </row>
    <row r="144" spans="2:12">
      <c r="B144" s="1806"/>
      <c r="C144" s="1807"/>
      <c r="D144" s="1807"/>
      <c r="E144" s="1807"/>
      <c r="F144" s="1807"/>
      <c r="G144" s="1807"/>
      <c r="H144" s="1807"/>
      <c r="I144" s="1807"/>
      <c r="J144" s="1807"/>
      <c r="K144" s="1807"/>
      <c r="L144" s="1808"/>
    </row>
    <row r="145" spans="2:12">
      <c r="B145" s="1806"/>
      <c r="C145" s="1807"/>
      <c r="D145" s="1807"/>
      <c r="E145" s="1807"/>
      <c r="F145" s="1807"/>
      <c r="G145" s="1807"/>
      <c r="H145" s="1807"/>
      <c r="I145" s="1807"/>
      <c r="J145" s="1807"/>
      <c r="K145" s="1807"/>
      <c r="L145" s="1808"/>
    </row>
    <row r="146" spans="2:12">
      <c r="B146" s="1806"/>
      <c r="C146" s="1807"/>
      <c r="D146" s="1807"/>
      <c r="E146" s="1807"/>
      <c r="F146" s="1807"/>
      <c r="G146" s="1807"/>
      <c r="H146" s="1807"/>
      <c r="I146" s="1807"/>
      <c r="J146" s="1807"/>
      <c r="K146" s="1807"/>
      <c r="L146" s="1808"/>
    </row>
    <row r="147" spans="2:12">
      <c r="B147" s="1806"/>
      <c r="C147" s="1807"/>
      <c r="D147" s="1807"/>
      <c r="E147" s="1807"/>
      <c r="F147" s="1807"/>
      <c r="G147" s="1807"/>
      <c r="H147" s="1807"/>
      <c r="I147" s="1807"/>
      <c r="J147" s="1807"/>
      <c r="K147" s="1807"/>
      <c r="L147" s="1808"/>
    </row>
    <row r="148" spans="2:12">
      <c r="B148" s="1806"/>
      <c r="C148" s="1807"/>
      <c r="D148" s="1807"/>
      <c r="E148" s="1807"/>
      <c r="F148" s="1807"/>
      <c r="G148" s="1807"/>
      <c r="H148" s="1807"/>
      <c r="I148" s="1807"/>
      <c r="J148" s="1807"/>
      <c r="K148" s="1807"/>
      <c r="L148" s="1808"/>
    </row>
    <row r="149" spans="2:12">
      <c r="B149" s="1806"/>
      <c r="C149" s="1807"/>
      <c r="D149" s="1807"/>
      <c r="E149" s="1807"/>
      <c r="F149" s="1807"/>
      <c r="G149" s="1807"/>
      <c r="H149" s="1807"/>
      <c r="I149" s="1807"/>
      <c r="J149" s="1807"/>
      <c r="K149" s="1807"/>
      <c r="L149" s="1808"/>
    </row>
    <row r="150" spans="2:12">
      <c r="B150" s="1806"/>
      <c r="C150" s="1807"/>
      <c r="D150" s="1807"/>
      <c r="E150" s="1807"/>
      <c r="F150" s="1807"/>
      <c r="G150" s="1807"/>
      <c r="H150" s="1807"/>
      <c r="I150" s="1807"/>
      <c r="J150" s="1807"/>
      <c r="K150" s="1807"/>
      <c r="L150" s="1808"/>
    </row>
    <row r="151" spans="2:12">
      <c r="B151" s="1806"/>
      <c r="C151" s="1807"/>
      <c r="D151" s="1807"/>
      <c r="E151" s="1807"/>
      <c r="F151" s="1807"/>
      <c r="G151" s="1807"/>
      <c r="H151" s="1807"/>
      <c r="I151" s="1807"/>
      <c r="J151" s="1807"/>
      <c r="K151" s="1807"/>
      <c r="L151" s="1808"/>
    </row>
    <row r="152" spans="2:12">
      <c r="B152" s="1806"/>
      <c r="C152" s="1807"/>
      <c r="D152" s="1807"/>
      <c r="E152" s="1807"/>
      <c r="F152" s="1807"/>
      <c r="G152" s="1807"/>
      <c r="H152" s="1807"/>
      <c r="I152" s="1807"/>
      <c r="J152" s="1807"/>
      <c r="K152" s="1807"/>
      <c r="L152" s="1808"/>
    </row>
    <row r="153" spans="2:12">
      <c r="B153" s="1806"/>
      <c r="C153" s="1807"/>
      <c r="D153" s="1807"/>
      <c r="E153" s="1807"/>
      <c r="F153" s="1807"/>
      <c r="G153" s="1807"/>
      <c r="H153" s="1807"/>
      <c r="I153" s="1807"/>
      <c r="J153" s="1807"/>
      <c r="K153" s="1807"/>
      <c r="L153" s="1808"/>
    </row>
    <row r="154" spans="2:12">
      <c r="B154" s="1806"/>
      <c r="C154" s="1807"/>
      <c r="D154" s="1807"/>
      <c r="E154" s="1807"/>
      <c r="F154" s="1807"/>
      <c r="G154" s="1807"/>
      <c r="H154" s="1807"/>
      <c r="I154" s="1807"/>
      <c r="J154" s="1807"/>
      <c r="K154" s="1807"/>
      <c r="L154" s="1808"/>
    </row>
    <row r="155" spans="2:12">
      <c r="B155" s="1806"/>
      <c r="C155" s="1807"/>
      <c r="D155" s="1807"/>
      <c r="E155" s="1807"/>
      <c r="F155" s="1807"/>
      <c r="G155" s="1807"/>
      <c r="H155" s="1807"/>
      <c r="I155" s="1807"/>
      <c r="J155" s="1807"/>
      <c r="K155" s="1807"/>
      <c r="L155" s="1808"/>
    </row>
    <row r="156" spans="2:12">
      <c r="B156" s="1806"/>
      <c r="C156" s="1807"/>
      <c r="D156" s="1807"/>
      <c r="E156" s="1807"/>
      <c r="F156" s="1807"/>
      <c r="G156" s="1807"/>
      <c r="H156" s="1807"/>
      <c r="I156" s="1807"/>
      <c r="J156" s="1807"/>
      <c r="K156" s="1807"/>
      <c r="L156" s="1808"/>
    </row>
    <row r="157" spans="2:12">
      <c r="B157" s="1806"/>
      <c r="C157" s="1807"/>
      <c r="D157" s="1807"/>
      <c r="E157" s="1807"/>
      <c r="F157" s="1807"/>
      <c r="G157" s="1807"/>
      <c r="H157" s="1807"/>
      <c r="I157" s="1807"/>
      <c r="J157" s="1807"/>
      <c r="K157" s="1807"/>
      <c r="L157" s="1808"/>
    </row>
    <row r="158" spans="2:12">
      <c r="B158" s="1806"/>
      <c r="C158" s="1807"/>
      <c r="D158" s="1807"/>
      <c r="E158" s="1807"/>
      <c r="F158" s="1807"/>
      <c r="G158" s="1807"/>
      <c r="H158" s="1807"/>
      <c r="I158" s="1807"/>
      <c r="J158" s="1807"/>
      <c r="K158" s="1807"/>
      <c r="L158" s="1808"/>
    </row>
    <row r="159" spans="2:12">
      <c r="B159" s="1806"/>
      <c r="C159" s="1807"/>
      <c r="D159" s="1807"/>
      <c r="E159" s="1807"/>
      <c r="F159" s="1807"/>
      <c r="G159" s="1807"/>
      <c r="H159" s="1807"/>
      <c r="I159" s="1807"/>
      <c r="J159" s="1807"/>
      <c r="K159" s="1807"/>
      <c r="L159" s="1808"/>
    </row>
    <row r="160" spans="2:12">
      <c r="B160" s="1806"/>
      <c r="C160" s="1807"/>
      <c r="D160" s="1807"/>
      <c r="E160" s="1807"/>
      <c r="F160" s="1807"/>
      <c r="G160" s="1807"/>
      <c r="H160" s="1807"/>
      <c r="I160" s="1807"/>
      <c r="J160" s="1807"/>
      <c r="K160" s="1807"/>
      <c r="L160" s="1808"/>
    </row>
    <row r="161" spans="2:12">
      <c r="B161" s="1806"/>
      <c r="C161" s="1807"/>
      <c r="D161" s="1807"/>
      <c r="E161" s="1807"/>
      <c r="F161" s="1807"/>
      <c r="G161" s="1807"/>
      <c r="H161" s="1807"/>
      <c r="I161" s="1807"/>
      <c r="J161" s="1807"/>
      <c r="K161" s="1807"/>
      <c r="L161" s="1808"/>
    </row>
    <row r="162" spans="2:12">
      <c r="B162" s="1806"/>
      <c r="C162" s="1807"/>
      <c r="D162" s="1807"/>
      <c r="E162" s="1807"/>
      <c r="F162" s="1807"/>
      <c r="G162" s="1807"/>
      <c r="H162" s="1807"/>
      <c r="I162" s="1807"/>
      <c r="J162" s="1807"/>
      <c r="K162" s="1807"/>
      <c r="L162" s="1808"/>
    </row>
    <row r="163" spans="2:12">
      <c r="B163" s="1806"/>
      <c r="C163" s="1807"/>
      <c r="D163" s="1807"/>
      <c r="E163" s="1807"/>
      <c r="F163" s="1807"/>
      <c r="G163" s="1807"/>
      <c r="H163" s="1807"/>
      <c r="I163" s="1807"/>
      <c r="J163" s="1807"/>
      <c r="K163" s="1807"/>
      <c r="L163" s="1808"/>
    </row>
    <row r="164" spans="2:12">
      <c r="B164" s="1806"/>
      <c r="C164" s="1807"/>
      <c r="D164" s="1807"/>
      <c r="E164" s="1807"/>
      <c r="F164" s="1807"/>
      <c r="G164" s="1807"/>
      <c r="H164" s="1807"/>
      <c r="I164" s="1807"/>
      <c r="J164" s="1807"/>
      <c r="K164" s="1807"/>
      <c r="L164" s="1808"/>
    </row>
    <row r="165" spans="2:12">
      <c r="B165" s="1806"/>
      <c r="C165" s="1807"/>
      <c r="D165" s="1807"/>
      <c r="E165" s="1807"/>
      <c r="F165" s="1807"/>
      <c r="G165" s="1807"/>
      <c r="H165" s="1807"/>
      <c r="I165" s="1807"/>
      <c r="J165" s="1807"/>
      <c r="K165" s="1807"/>
      <c r="L165" s="1808"/>
    </row>
    <row r="166" spans="2:12">
      <c r="B166" s="1806"/>
      <c r="C166" s="1807"/>
      <c r="D166" s="1807"/>
      <c r="E166" s="1807"/>
      <c r="F166" s="1807"/>
      <c r="G166" s="1807"/>
      <c r="H166" s="1807"/>
      <c r="I166" s="1807"/>
      <c r="J166" s="1807"/>
      <c r="K166" s="1807"/>
      <c r="L166" s="1808"/>
    </row>
    <row r="167" spans="2:12">
      <c r="B167" s="1806"/>
      <c r="C167" s="1807"/>
      <c r="D167" s="1807"/>
      <c r="E167" s="1807"/>
      <c r="F167" s="1807"/>
      <c r="G167" s="1807"/>
      <c r="H167" s="1807"/>
      <c r="I167" s="1807"/>
      <c r="J167" s="1807"/>
      <c r="K167" s="1807"/>
      <c r="L167" s="1808"/>
    </row>
    <row r="168" spans="2:12">
      <c r="B168" s="1806"/>
      <c r="C168" s="1807"/>
      <c r="D168" s="1807"/>
      <c r="E168" s="1807"/>
      <c r="F168" s="1807"/>
      <c r="G168" s="1807"/>
      <c r="H168" s="1807"/>
      <c r="I168" s="1807"/>
      <c r="J168" s="1807"/>
      <c r="K168" s="1807"/>
      <c r="L168" s="1808"/>
    </row>
    <row r="169" spans="2:12">
      <c r="B169" s="1806"/>
      <c r="C169" s="1807"/>
      <c r="D169" s="1807"/>
      <c r="E169" s="1807"/>
      <c r="F169" s="1807"/>
      <c r="G169" s="1807"/>
      <c r="H169" s="1807"/>
      <c r="I169" s="1807"/>
      <c r="J169" s="1807"/>
      <c r="K169" s="1807"/>
      <c r="L169" s="1808"/>
    </row>
    <row r="170" spans="2:12">
      <c r="B170" s="1806"/>
      <c r="C170" s="1807"/>
      <c r="D170" s="1807"/>
      <c r="E170" s="1807"/>
      <c r="F170" s="1807"/>
      <c r="G170" s="1807"/>
      <c r="H170" s="1807"/>
      <c r="I170" s="1807"/>
      <c r="J170" s="1807"/>
      <c r="K170" s="1807"/>
      <c r="L170" s="1808"/>
    </row>
    <row r="171" spans="2:12">
      <c r="B171" s="1806"/>
      <c r="C171" s="1807"/>
      <c r="D171" s="1807"/>
      <c r="E171" s="1807"/>
      <c r="F171" s="1807"/>
      <c r="G171" s="1807"/>
      <c r="H171" s="1807"/>
      <c r="I171" s="1807"/>
      <c r="J171" s="1807"/>
      <c r="K171" s="1807"/>
      <c r="L171" s="1808"/>
    </row>
    <row r="172" spans="2:12">
      <c r="B172" s="1806"/>
      <c r="C172" s="1807"/>
      <c r="D172" s="1807"/>
      <c r="E172" s="1807"/>
      <c r="F172" s="1807"/>
      <c r="G172" s="1807"/>
      <c r="H172" s="1807"/>
      <c r="I172" s="1807"/>
      <c r="J172" s="1807"/>
      <c r="K172" s="1807"/>
      <c r="L172" s="1808"/>
    </row>
    <row r="173" spans="2:12">
      <c r="B173" s="1806"/>
      <c r="C173" s="1807"/>
      <c r="D173" s="1807"/>
      <c r="E173" s="1807"/>
      <c r="F173" s="1807"/>
      <c r="G173" s="1807"/>
      <c r="H173" s="1807"/>
      <c r="I173" s="1807"/>
      <c r="J173" s="1807"/>
      <c r="K173" s="1807"/>
      <c r="L173" s="1808"/>
    </row>
    <row r="174" spans="2:12">
      <c r="B174" s="1806"/>
      <c r="C174" s="1807"/>
      <c r="D174" s="1807"/>
      <c r="E174" s="1807"/>
      <c r="F174" s="1807"/>
      <c r="G174" s="1807"/>
      <c r="H174" s="1807"/>
      <c r="I174" s="1807"/>
      <c r="J174" s="1807"/>
      <c r="K174" s="1807"/>
      <c r="L174" s="1808"/>
    </row>
    <row r="175" spans="2:12">
      <c r="B175" s="1806"/>
      <c r="C175" s="1807"/>
      <c r="D175" s="1807"/>
      <c r="E175" s="1807"/>
      <c r="F175" s="1807"/>
      <c r="G175" s="1807"/>
      <c r="H175" s="1807"/>
      <c r="I175" s="1807"/>
      <c r="J175" s="1807"/>
      <c r="K175" s="1807"/>
      <c r="L175" s="1808"/>
    </row>
    <row r="176" spans="2:12">
      <c r="B176" s="1806"/>
      <c r="C176" s="1807"/>
      <c r="D176" s="1807"/>
      <c r="E176" s="1807"/>
      <c r="F176" s="1807"/>
      <c r="G176" s="1807"/>
      <c r="H176" s="1807"/>
      <c r="I176" s="1807"/>
      <c r="J176" s="1807"/>
      <c r="K176" s="1807"/>
      <c r="L176" s="1808"/>
    </row>
    <row r="177" spans="2:12">
      <c r="B177" s="1806"/>
      <c r="C177" s="1807"/>
      <c r="D177" s="1807"/>
      <c r="E177" s="1807"/>
      <c r="F177" s="1807"/>
      <c r="G177" s="1807"/>
      <c r="H177" s="1807"/>
      <c r="I177" s="1807"/>
      <c r="J177" s="1807"/>
      <c r="K177" s="1807"/>
      <c r="L177" s="1808"/>
    </row>
    <row r="178" spans="2:12">
      <c r="B178" s="1806"/>
      <c r="C178" s="1807"/>
      <c r="D178" s="1807"/>
      <c r="E178" s="1807"/>
      <c r="F178" s="1807"/>
      <c r="G178" s="1807"/>
      <c r="H178" s="1807"/>
      <c r="I178" s="1807"/>
      <c r="J178" s="1807"/>
      <c r="K178" s="1807"/>
      <c r="L178" s="1808"/>
    </row>
    <row r="179" spans="2:12">
      <c r="B179" s="1806"/>
      <c r="C179" s="1807"/>
      <c r="D179" s="1807"/>
      <c r="E179" s="1807"/>
      <c r="F179" s="1807"/>
      <c r="G179" s="1807"/>
      <c r="H179" s="1807"/>
      <c r="I179" s="1807"/>
      <c r="J179" s="1807"/>
      <c r="K179" s="1807"/>
      <c r="L179" s="1808"/>
    </row>
    <row r="180" spans="2:12">
      <c r="B180" s="1806"/>
      <c r="C180" s="1807"/>
      <c r="D180" s="1807"/>
      <c r="E180" s="1807"/>
      <c r="F180" s="1807"/>
      <c r="G180" s="1807"/>
      <c r="H180" s="1807"/>
      <c r="I180" s="1807"/>
      <c r="J180" s="1807"/>
      <c r="K180" s="1807"/>
      <c r="L180" s="1808"/>
    </row>
    <row r="181" spans="2:12">
      <c r="B181" s="1806"/>
      <c r="C181" s="1807"/>
      <c r="D181" s="1807"/>
      <c r="E181" s="1807"/>
      <c r="F181" s="1807"/>
      <c r="G181" s="1807"/>
      <c r="H181" s="1807"/>
      <c r="I181" s="1807"/>
      <c r="J181" s="1807"/>
      <c r="K181" s="1807"/>
      <c r="L181" s="1808"/>
    </row>
    <row r="182" spans="2:12">
      <c r="B182" s="1806"/>
      <c r="C182" s="1807"/>
      <c r="D182" s="1807"/>
      <c r="E182" s="1807"/>
      <c r="F182" s="1807"/>
      <c r="G182" s="1807"/>
      <c r="H182" s="1807"/>
      <c r="I182" s="1807"/>
      <c r="J182" s="1807"/>
      <c r="K182" s="1807"/>
      <c r="L182" s="1808"/>
    </row>
    <row r="183" spans="2:12">
      <c r="B183" s="1806"/>
      <c r="C183" s="1807"/>
      <c r="D183" s="1807"/>
      <c r="E183" s="1807"/>
      <c r="F183" s="1807"/>
      <c r="G183" s="1807"/>
      <c r="H183" s="1807"/>
      <c r="I183" s="1807"/>
      <c r="J183" s="1807"/>
      <c r="K183" s="1807"/>
      <c r="L183" s="1808"/>
    </row>
    <row r="184" spans="2:12">
      <c r="B184" s="1806"/>
      <c r="C184" s="1807"/>
      <c r="D184" s="1807"/>
      <c r="E184" s="1807"/>
      <c r="F184" s="1807"/>
      <c r="G184" s="1807"/>
      <c r="H184" s="1807"/>
      <c r="I184" s="1807"/>
      <c r="J184" s="1807"/>
      <c r="K184" s="1807"/>
      <c r="L184" s="1808"/>
    </row>
    <row r="185" spans="2:12">
      <c r="B185" s="1806"/>
      <c r="C185" s="1807"/>
      <c r="D185" s="1807"/>
      <c r="E185" s="1807"/>
      <c r="F185" s="1807"/>
      <c r="G185" s="1807"/>
      <c r="H185" s="1807"/>
      <c r="I185" s="1807"/>
      <c r="J185" s="1807"/>
      <c r="K185" s="1807"/>
      <c r="L185" s="1808"/>
    </row>
    <row r="186" spans="2:12">
      <c r="B186" s="1806"/>
      <c r="C186" s="1807"/>
      <c r="D186" s="1807"/>
      <c r="E186" s="1807"/>
      <c r="F186" s="1807"/>
      <c r="G186" s="1807"/>
      <c r="H186" s="1807"/>
      <c r="I186" s="1807"/>
      <c r="J186" s="1807"/>
      <c r="K186" s="1807"/>
      <c r="L186" s="1808"/>
    </row>
    <row r="187" spans="2:12">
      <c r="B187" s="1806"/>
      <c r="C187" s="1807"/>
      <c r="D187" s="1807"/>
      <c r="E187" s="1807"/>
      <c r="F187" s="1807"/>
      <c r="G187" s="1807"/>
      <c r="H187" s="1807"/>
      <c r="I187" s="1807"/>
      <c r="J187" s="1807"/>
      <c r="K187" s="1807"/>
      <c r="L187" s="1808"/>
    </row>
    <row r="188" spans="2:12">
      <c r="B188" s="1806"/>
      <c r="C188" s="1807"/>
      <c r="D188" s="1807"/>
      <c r="E188" s="1807"/>
      <c r="F188" s="1807"/>
      <c r="G188" s="1807"/>
      <c r="H188" s="1807"/>
      <c r="I188" s="1807"/>
      <c r="J188" s="1807"/>
      <c r="K188" s="1807"/>
      <c r="L188" s="1808"/>
    </row>
    <row r="189" spans="2:12">
      <c r="B189" s="1806"/>
      <c r="C189" s="1807"/>
      <c r="D189" s="1807"/>
      <c r="E189" s="1807"/>
      <c r="F189" s="1807"/>
      <c r="G189" s="1807"/>
      <c r="H189" s="1807"/>
      <c r="I189" s="1807"/>
      <c r="J189" s="1807"/>
      <c r="K189" s="1807"/>
      <c r="L189" s="1808"/>
    </row>
    <row r="190" spans="2:12">
      <c r="B190" s="1806"/>
      <c r="C190" s="1807"/>
      <c r="D190" s="1807"/>
      <c r="E190" s="1807"/>
      <c r="F190" s="1807"/>
      <c r="G190" s="1807"/>
      <c r="H190" s="1807"/>
      <c r="I190" s="1807"/>
      <c r="J190" s="1807"/>
      <c r="K190" s="1807"/>
      <c r="L190" s="1808"/>
    </row>
    <row r="191" spans="2:12">
      <c r="B191" s="1806"/>
      <c r="C191" s="1807"/>
      <c r="D191" s="1807"/>
      <c r="E191" s="1807"/>
      <c r="F191" s="1807"/>
      <c r="G191" s="1807"/>
      <c r="H191" s="1807"/>
      <c r="I191" s="1807"/>
      <c r="J191" s="1807"/>
      <c r="K191" s="1807"/>
      <c r="L191" s="1808"/>
    </row>
    <row r="192" spans="2:12">
      <c r="B192" s="1806"/>
      <c r="C192" s="1807"/>
      <c r="D192" s="1807"/>
      <c r="E192" s="1807"/>
      <c r="F192" s="1807"/>
      <c r="G192" s="1807"/>
      <c r="H192" s="1807"/>
      <c r="I192" s="1807"/>
      <c r="J192" s="1807"/>
      <c r="K192" s="1807"/>
      <c r="L192" s="1808"/>
    </row>
    <row r="193" spans="2:12">
      <c r="B193" s="1806"/>
      <c r="C193" s="1807"/>
      <c r="D193" s="1807"/>
      <c r="E193" s="1807"/>
      <c r="F193" s="1807"/>
      <c r="G193" s="1807"/>
      <c r="H193" s="1807"/>
      <c r="I193" s="1807"/>
      <c r="J193" s="1807"/>
      <c r="K193" s="1807"/>
      <c r="L193" s="1808"/>
    </row>
    <row r="194" spans="2:12" ht="13" thickBot="1">
      <c r="B194" s="1809"/>
      <c r="C194" s="1810"/>
      <c r="D194" s="1810"/>
      <c r="E194" s="1810"/>
      <c r="F194" s="1810"/>
      <c r="G194" s="1810"/>
      <c r="H194" s="1810"/>
      <c r="I194" s="1810"/>
      <c r="J194" s="1810"/>
      <c r="K194" s="1810"/>
      <c r="L194" s="1811"/>
    </row>
    <row r="195" spans="2:12" ht="13" thickBot="1">
      <c r="B195" s="1668" t="s">
        <v>417</v>
      </c>
      <c r="C195" s="1668"/>
      <c r="D195" s="342"/>
      <c r="E195" s="342"/>
      <c r="F195" s="342"/>
      <c r="G195" s="343" t="s">
        <v>425</v>
      </c>
      <c r="H195" s="1662" t="str">
        <f>H64</f>
        <v xml:space="preserve"> Sistema ByDesigner Desenvolvido Neri (21) 97014-2420</v>
      </c>
      <c r="I195" s="1662"/>
      <c r="J195" s="1662"/>
      <c r="K195" s="1662"/>
      <c r="L195" s="1662"/>
    </row>
    <row r="196" spans="2:12" ht="13">
      <c r="B196" s="1397" t="s">
        <v>124</v>
      </c>
      <c r="C196" s="1398"/>
      <c r="D196" s="1398"/>
      <c r="E196" s="1400" t="str">
        <f>E130</f>
        <v>Razão Social da Loja</v>
      </c>
      <c r="F196" s="1401"/>
      <c r="G196" s="1401"/>
      <c r="H196" s="1401"/>
      <c r="I196" s="1401"/>
      <c r="J196" s="1402"/>
      <c r="K196" s="1816"/>
      <c r="L196" s="1399"/>
    </row>
    <row r="197" spans="2:12" ht="13">
      <c r="B197" s="1403" t="s">
        <v>125</v>
      </c>
      <c r="C197" s="1404"/>
      <c r="D197" s="1404"/>
      <c r="E197" s="1414" t="str">
        <f>E131</f>
        <v>Nome Fantasia Loja</v>
      </c>
      <c r="F197" s="1415"/>
      <c r="G197" s="1415"/>
      <c r="H197" s="1415"/>
      <c r="I197" s="1415"/>
      <c r="J197" s="1416"/>
      <c r="K197" s="1412" t="s">
        <v>126</v>
      </c>
      <c r="L197" s="1413"/>
    </row>
    <row r="198" spans="2:12">
      <c r="B198" s="1403" t="s">
        <v>426</v>
      </c>
      <c r="C198" s="1404"/>
      <c r="D198" s="1404"/>
      <c r="E198" s="1813" t="str">
        <f>E132</f>
        <v>CNPJ da Loja</v>
      </c>
      <c r="F198" s="1814"/>
      <c r="G198" s="1814"/>
      <c r="H198" s="1417" t="str">
        <f>'1FComprador'!H5:J5</f>
        <v>Inscrição da loja</v>
      </c>
      <c r="I198" s="1417"/>
      <c r="J198" s="1418"/>
      <c r="K198" s="1422" t="str">
        <f>K67</f>
        <v>DG-0625-01</v>
      </c>
      <c r="L198" s="1405"/>
    </row>
    <row r="199" spans="2:12" ht="13">
      <c r="B199" s="1403" t="s">
        <v>128</v>
      </c>
      <c r="C199" s="1404"/>
      <c r="D199" s="1404"/>
      <c r="E199" s="1414" t="str">
        <f>'1FComprador'!E6</f>
        <v>Endereço da Loja</v>
      </c>
      <c r="F199" s="1415"/>
      <c r="G199" s="1415"/>
      <c r="H199" s="1415"/>
      <c r="I199" s="1415"/>
      <c r="J199" s="1416"/>
      <c r="K199" s="1406" t="s">
        <v>129</v>
      </c>
      <c r="L199" s="1407"/>
    </row>
    <row r="200" spans="2:12">
      <c r="B200" s="1421" t="s">
        <v>130</v>
      </c>
      <c r="C200" s="1404"/>
      <c r="D200" s="1404"/>
      <c r="E200" s="1421" t="s">
        <v>423</v>
      </c>
      <c r="F200" s="1422"/>
      <c r="G200" s="1422"/>
      <c r="H200" s="1422" t="s">
        <v>419</v>
      </c>
      <c r="I200" s="1422"/>
      <c r="J200" s="1423"/>
      <c r="K200" s="1821">
        <f ca="1">DataOrçamento</f>
        <v>46153.67125486111</v>
      </c>
      <c r="L200" s="1822"/>
    </row>
    <row r="201" spans="2:12" ht="14">
      <c r="B201" s="1403" t="s">
        <v>131</v>
      </c>
      <c r="C201" s="1404"/>
      <c r="D201" s="1404"/>
      <c r="E201" s="1797" t="str">
        <f>'1FComprador'!E8:J8</f>
        <v>E-mail da Loja</v>
      </c>
      <c r="F201" s="1798"/>
      <c r="G201" s="1798"/>
      <c r="H201" s="1798"/>
      <c r="I201" s="1798"/>
      <c r="J201" s="1769"/>
      <c r="K201" s="292" t="s">
        <v>18</v>
      </c>
      <c r="L201" s="291">
        <f>'1FComprador'!$L$8</f>
        <v>1</v>
      </c>
    </row>
    <row r="202" spans="2:12" ht="13" thickBot="1">
      <c r="B202" s="1375" t="str">
        <f>'1FComprador'!B9:D9</f>
        <v>Vendedor 1</v>
      </c>
      <c r="C202" s="1376"/>
      <c r="D202" s="1376"/>
      <c r="E202" s="1375" t="str">
        <f>'1FComprador'!E9:J9</f>
        <v>Vendedor(a) Projetista : Vendedor 1</v>
      </c>
      <c r="F202" s="1376"/>
      <c r="G202" s="1376"/>
      <c r="H202" s="1376"/>
      <c r="I202" s="1376"/>
      <c r="J202" s="1377"/>
      <c r="K202" s="1753" t="str">
        <f>'1FComprador'!$K$9</f>
        <v>Local da loja</v>
      </c>
      <c r="L202" s="1409"/>
    </row>
    <row r="203" spans="2:12">
      <c r="B203" s="1799"/>
      <c r="C203" s="1800"/>
      <c r="D203" s="1800"/>
      <c r="E203" s="1800"/>
      <c r="F203" s="1800"/>
      <c r="G203" s="1800"/>
      <c r="H203" s="1800"/>
      <c r="I203" s="1800"/>
      <c r="J203" s="1800"/>
      <c r="K203" s="1801"/>
      <c r="L203" s="1802"/>
    </row>
    <row r="204" spans="2:12">
      <c r="B204" s="1803" t="s">
        <v>427</v>
      </c>
      <c r="C204" s="1804"/>
      <c r="D204" s="1804"/>
      <c r="E204" s="1804"/>
      <c r="F204" s="1804"/>
      <c r="G204" s="1804"/>
      <c r="H204" s="1804"/>
      <c r="I204" s="1804"/>
      <c r="J204" s="1804"/>
      <c r="K204" s="1804"/>
      <c r="L204" s="1805"/>
    </row>
    <row r="205" spans="2:12">
      <c r="B205" s="1806"/>
      <c r="C205" s="1807"/>
      <c r="D205" s="1807"/>
      <c r="E205" s="1807"/>
      <c r="F205" s="1807"/>
      <c r="G205" s="1807"/>
      <c r="H205" s="1807"/>
      <c r="I205" s="1807"/>
      <c r="J205" s="1807"/>
      <c r="K205" s="1807"/>
      <c r="L205" s="1808"/>
    </row>
    <row r="206" spans="2:12">
      <c r="B206" s="1806"/>
      <c r="C206" s="1807"/>
      <c r="D206" s="1807"/>
      <c r="E206" s="1807"/>
      <c r="F206" s="1807"/>
      <c r="G206" s="1807"/>
      <c r="H206" s="1807"/>
      <c r="I206" s="1807"/>
      <c r="J206" s="1807"/>
      <c r="K206" s="1807"/>
      <c r="L206" s="1808"/>
    </row>
    <row r="207" spans="2:12">
      <c r="B207" s="1806"/>
      <c r="C207" s="1807"/>
      <c r="D207" s="1807"/>
      <c r="E207" s="1807"/>
      <c r="F207" s="1807"/>
      <c r="G207" s="1807"/>
      <c r="H207" s="1807"/>
      <c r="I207" s="1807"/>
      <c r="J207" s="1807"/>
      <c r="K207" s="1807"/>
      <c r="L207" s="1808"/>
    </row>
    <row r="208" spans="2:12">
      <c r="B208" s="1806"/>
      <c r="C208" s="1807"/>
      <c r="D208" s="1807"/>
      <c r="E208" s="1807"/>
      <c r="F208" s="1807"/>
      <c r="G208" s="1807"/>
      <c r="H208" s="1807"/>
      <c r="I208" s="1807"/>
      <c r="J208" s="1807"/>
      <c r="K208" s="1807"/>
      <c r="L208" s="1808"/>
    </row>
    <row r="209" spans="2:12">
      <c r="B209" s="1806"/>
      <c r="C209" s="1807"/>
      <c r="D209" s="1807"/>
      <c r="E209" s="1807"/>
      <c r="F209" s="1807"/>
      <c r="G209" s="1807"/>
      <c r="H209" s="1807"/>
      <c r="I209" s="1807"/>
      <c r="J209" s="1807"/>
      <c r="K209" s="1807"/>
      <c r="L209" s="1808"/>
    </row>
    <row r="210" spans="2:12">
      <c r="B210" s="1806"/>
      <c r="C210" s="1807"/>
      <c r="D210" s="1807"/>
      <c r="E210" s="1807"/>
      <c r="F210" s="1807"/>
      <c r="G210" s="1807"/>
      <c r="H210" s="1807"/>
      <c r="I210" s="1807"/>
      <c r="J210" s="1807"/>
      <c r="K210" s="1807"/>
      <c r="L210" s="1808"/>
    </row>
    <row r="211" spans="2:12">
      <c r="B211" s="1806"/>
      <c r="C211" s="1807"/>
      <c r="D211" s="1807"/>
      <c r="E211" s="1807"/>
      <c r="F211" s="1807"/>
      <c r="G211" s="1807"/>
      <c r="H211" s="1807"/>
      <c r="I211" s="1807"/>
      <c r="J211" s="1807"/>
      <c r="K211" s="1807"/>
      <c r="L211" s="1808"/>
    </row>
    <row r="212" spans="2:12">
      <c r="B212" s="1806"/>
      <c r="C212" s="1807"/>
      <c r="D212" s="1807"/>
      <c r="E212" s="1807"/>
      <c r="F212" s="1807"/>
      <c r="G212" s="1807"/>
      <c r="H212" s="1807"/>
      <c r="I212" s="1807"/>
      <c r="J212" s="1807"/>
      <c r="K212" s="1807"/>
      <c r="L212" s="1808"/>
    </row>
    <row r="213" spans="2:12">
      <c r="B213" s="1806"/>
      <c r="C213" s="1807"/>
      <c r="D213" s="1807"/>
      <c r="E213" s="1807"/>
      <c r="F213" s="1807"/>
      <c r="G213" s="1807"/>
      <c r="H213" s="1807"/>
      <c r="I213" s="1807"/>
      <c r="J213" s="1807"/>
      <c r="K213" s="1807"/>
      <c r="L213" s="1808"/>
    </row>
    <row r="214" spans="2:12">
      <c r="B214" s="1806"/>
      <c r="C214" s="1807"/>
      <c r="D214" s="1807"/>
      <c r="E214" s="1807"/>
      <c r="F214" s="1807"/>
      <c r="G214" s="1807"/>
      <c r="H214" s="1807"/>
      <c r="I214" s="1807"/>
      <c r="J214" s="1807"/>
      <c r="K214" s="1807"/>
      <c r="L214" s="1808"/>
    </row>
    <row r="215" spans="2:12">
      <c r="B215" s="1806"/>
      <c r="C215" s="1807"/>
      <c r="D215" s="1807"/>
      <c r="E215" s="1807"/>
      <c r="F215" s="1807"/>
      <c r="G215" s="1807"/>
      <c r="H215" s="1807"/>
      <c r="I215" s="1807"/>
      <c r="J215" s="1807"/>
      <c r="K215" s="1807"/>
      <c r="L215" s="1808"/>
    </row>
    <row r="216" spans="2:12">
      <c r="B216" s="1806"/>
      <c r="C216" s="1807"/>
      <c r="D216" s="1807"/>
      <c r="E216" s="1807"/>
      <c r="F216" s="1807"/>
      <c r="G216" s="1807"/>
      <c r="H216" s="1807"/>
      <c r="I216" s="1807"/>
      <c r="J216" s="1807"/>
      <c r="K216" s="1807"/>
      <c r="L216" s="1808"/>
    </row>
    <row r="217" spans="2:12">
      <c r="B217" s="1806"/>
      <c r="C217" s="1807"/>
      <c r="D217" s="1807"/>
      <c r="E217" s="1807"/>
      <c r="F217" s="1807"/>
      <c r="G217" s="1807"/>
      <c r="H217" s="1807"/>
      <c r="I217" s="1807"/>
      <c r="J217" s="1807"/>
      <c r="K217" s="1807"/>
      <c r="L217" s="1808"/>
    </row>
    <row r="218" spans="2:12">
      <c r="B218" s="1806"/>
      <c r="C218" s="1807"/>
      <c r="D218" s="1807"/>
      <c r="E218" s="1807"/>
      <c r="F218" s="1807"/>
      <c r="G218" s="1807"/>
      <c r="H218" s="1807"/>
      <c r="I218" s="1807"/>
      <c r="J218" s="1807"/>
      <c r="K218" s="1807"/>
      <c r="L218" s="1808"/>
    </row>
    <row r="219" spans="2:12">
      <c r="B219" s="1806"/>
      <c r="C219" s="1807"/>
      <c r="D219" s="1807"/>
      <c r="E219" s="1807"/>
      <c r="F219" s="1807"/>
      <c r="G219" s="1807"/>
      <c r="H219" s="1807"/>
      <c r="I219" s="1807"/>
      <c r="J219" s="1807"/>
      <c r="K219" s="1807"/>
      <c r="L219" s="1808"/>
    </row>
    <row r="220" spans="2:12">
      <c r="B220" s="1806"/>
      <c r="C220" s="1807"/>
      <c r="D220" s="1807"/>
      <c r="E220" s="1807"/>
      <c r="F220" s="1807"/>
      <c r="G220" s="1807"/>
      <c r="H220" s="1807"/>
      <c r="I220" s="1807"/>
      <c r="J220" s="1807"/>
      <c r="K220" s="1807"/>
      <c r="L220" s="1808"/>
    </row>
    <row r="221" spans="2:12">
      <c r="B221" s="1806"/>
      <c r="C221" s="1807"/>
      <c r="D221" s="1807"/>
      <c r="E221" s="1807"/>
      <c r="F221" s="1807"/>
      <c r="G221" s="1807"/>
      <c r="H221" s="1807"/>
      <c r="I221" s="1807"/>
      <c r="J221" s="1807"/>
      <c r="K221" s="1807"/>
      <c r="L221" s="1808"/>
    </row>
    <row r="222" spans="2:12">
      <c r="B222" s="1806"/>
      <c r="C222" s="1807"/>
      <c r="D222" s="1807"/>
      <c r="E222" s="1807"/>
      <c r="F222" s="1807"/>
      <c r="G222" s="1807"/>
      <c r="H222" s="1807"/>
      <c r="I222" s="1807"/>
      <c r="J222" s="1807"/>
      <c r="K222" s="1807"/>
      <c r="L222" s="1808"/>
    </row>
    <row r="223" spans="2:12">
      <c r="B223" s="1806"/>
      <c r="C223" s="1807"/>
      <c r="D223" s="1807"/>
      <c r="E223" s="1807"/>
      <c r="F223" s="1807"/>
      <c r="G223" s="1807"/>
      <c r="H223" s="1807"/>
      <c r="I223" s="1807"/>
      <c r="J223" s="1807"/>
      <c r="K223" s="1807"/>
      <c r="L223" s="1808"/>
    </row>
    <row r="224" spans="2:12">
      <c r="B224" s="1806"/>
      <c r="C224" s="1807"/>
      <c r="D224" s="1807"/>
      <c r="E224" s="1807"/>
      <c r="F224" s="1807"/>
      <c r="G224" s="1807"/>
      <c r="H224" s="1807"/>
      <c r="I224" s="1807"/>
      <c r="J224" s="1807"/>
      <c r="K224" s="1807"/>
      <c r="L224" s="1808"/>
    </row>
    <row r="225" spans="2:12">
      <c r="B225" s="1806"/>
      <c r="C225" s="1807"/>
      <c r="D225" s="1807"/>
      <c r="E225" s="1807"/>
      <c r="F225" s="1807"/>
      <c r="G225" s="1807"/>
      <c r="H225" s="1807"/>
      <c r="I225" s="1807"/>
      <c r="J225" s="1807"/>
      <c r="K225" s="1807"/>
      <c r="L225" s="1808"/>
    </row>
    <row r="226" spans="2:12">
      <c r="B226" s="1806"/>
      <c r="C226" s="1807"/>
      <c r="D226" s="1807"/>
      <c r="E226" s="1807"/>
      <c r="F226" s="1807"/>
      <c r="G226" s="1807"/>
      <c r="H226" s="1807"/>
      <c r="I226" s="1807"/>
      <c r="J226" s="1807"/>
      <c r="K226" s="1807"/>
      <c r="L226" s="1808"/>
    </row>
    <row r="227" spans="2:12">
      <c r="B227" s="1806"/>
      <c r="C227" s="1807"/>
      <c r="D227" s="1807"/>
      <c r="E227" s="1807"/>
      <c r="F227" s="1807"/>
      <c r="G227" s="1807"/>
      <c r="H227" s="1807"/>
      <c r="I227" s="1807"/>
      <c r="J227" s="1807"/>
      <c r="K227" s="1807"/>
      <c r="L227" s="1808"/>
    </row>
    <row r="228" spans="2:12">
      <c r="B228" s="1806"/>
      <c r="C228" s="1807"/>
      <c r="D228" s="1807"/>
      <c r="E228" s="1807"/>
      <c r="F228" s="1807"/>
      <c r="G228" s="1807"/>
      <c r="H228" s="1807"/>
      <c r="I228" s="1807"/>
      <c r="J228" s="1807"/>
      <c r="K228" s="1807"/>
      <c r="L228" s="1808"/>
    </row>
    <row r="229" spans="2:12">
      <c r="B229" s="1806"/>
      <c r="C229" s="1807"/>
      <c r="D229" s="1807"/>
      <c r="E229" s="1807"/>
      <c r="F229" s="1807"/>
      <c r="G229" s="1807"/>
      <c r="H229" s="1807"/>
      <c r="I229" s="1807"/>
      <c r="J229" s="1807"/>
      <c r="K229" s="1807"/>
      <c r="L229" s="1808"/>
    </row>
    <row r="230" spans="2:12">
      <c r="B230" s="1806"/>
      <c r="C230" s="1807"/>
      <c r="D230" s="1807"/>
      <c r="E230" s="1807"/>
      <c r="F230" s="1807"/>
      <c r="G230" s="1807"/>
      <c r="H230" s="1807"/>
      <c r="I230" s="1807"/>
      <c r="J230" s="1807"/>
      <c r="K230" s="1807"/>
      <c r="L230" s="1808"/>
    </row>
    <row r="231" spans="2:12">
      <c r="B231" s="1806"/>
      <c r="C231" s="1807"/>
      <c r="D231" s="1807"/>
      <c r="E231" s="1807"/>
      <c r="F231" s="1807"/>
      <c r="G231" s="1807"/>
      <c r="H231" s="1807"/>
      <c r="I231" s="1807"/>
      <c r="J231" s="1807"/>
      <c r="K231" s="1807"/>
      <c r="L231" s="1808"/>
    </row>
    <row r="232" spans="2:12">
      <c r="B232" s="1806"/>
      <c r="C232" s="1807"/>
      <c r="D232" s="1807"/>
      <c r="E232" s="1807"/>
      <c r="F232" s="1807"/>
      <c r="G232" s="1807"/>
      <c r="H232" s="1807"/>
      <c r="I232" s="1807"/>
      <c r="J232" s="1807"/>
      <c r="K232" s="1807"/>
      <c r="L232" s="1808"/>
    </row>
    <row r="233" spans="2:12">
      <c r="B233" s="1806"/>
      <c r="C233" s="1807"/>
      <c r="D233" s="1807"/>
      <c r="E233" s="1807"/>
      <c r="F233" s="1807"/>
      <c r="G233" s="1807"/>
      <c r="H233" s="1807"/>
      <c r="I233" s="1807"/>
      <c r="J233" s="1807"/>
      <c r="K233" s="1807"/>
      <c r="L233" s="1808"/>
    </row>
    <row r="234" spans="2:12">
      <c r="B234" s="1806"/>
      <c r="C234" s="1807"/>
      <c r="D234" s="1807"/>
      <c r="E234" s="1807"/>
      <c r="F234" s="1807"/>
      <c r="G234" s="1807"/>
      <c r="H234" s="1807"/>
      <c r="I234" s="1807"/>
      <c r="J234" s="1807"/>
      <c r="K234" s="1807"/>
      <c r="L234" s="1808"/>
    </row>
    <row r="235" spans="2:12">
      <c r="B235" s="1806"/>
      <c r="C235" s="1807"/>
      <c r="D235" s="1807"/>
      <c r="E235" s="1807"/>
      <c r="F235" s="1807"/>
      <c r="G235" s="1807"/>
      <c r="H235" s="1807"/>
      <c r="I235" s="1807"/>
      <c r="J235" s="1807"/>
      <c r="K235" s="1807"/>
      <c r="L235" s="1808"/>
    </row>
    <row r="236" spans="2:12">
      <c r="B236" s="1806"/>
      <c r="C236" s="1807"/>
      <c r="D236" s="1807"/>
      <c r="E236" s="1807"/>
      <c r="F236" s="1807"/>
      <c r="G236" s="1807"/>
      <c r="H236" s="1807"/>
      <c r="I236" s="1807"/>
      <c r="J236" s="1807"/>
      <c r="K236" s="1807"/>
      <c r="L236" s="1808"/>
    </row>
    <row r="237" spans="2:12">
      <c r="B237" s="1806"/>
      <c r="C237" s="1807"/>
      <c r="D237" s="1807"/>
      <c r="E237" s="1807"/>
      <c r="F237" s="1807"/>
      <c r="G237" s="1807"/>
      <c r="H237" s="1807"/>
      <c r="I237" s="1807"/>
      <c r="J237" s="1807"/>
      <c r="K237" s="1807"/>
      <c r="L237" s="1808"/>
    </row>
    <row r="238" spans="2:12">
      <c r="B238" s="1806"/>
      <c r="C238" s="1807"/>
      <c r="D238" s="1807"/>
      <c r="E238" s="1807"/>
      <c r="F238" s="1807"/>
      <c r="G238" s="1807"/>
      <c r="H238" s="1807"/>
      <c r="I238" s="1807"/>
      <c r="J238" s="1807"/>
      <c r="K238" s="1807"/>
      <c r="L238" s="1808"/>
    </row>
    <row r="239" spans="2:12">
      <c r="B239" s="1806"/>
      <c r="C239" s="1807"/>
      <c r="D239" s="1807"/>
      <c r="E239" s="1807"/>
      <c r="F239" s="1807"/>
      <c r="G239" s="1807"/>
      <c r="H239" s="1807"/>
      <c r="I239" s="1807"/>
      <c r="J239" s="1807"/>
      <c r="K239" s="1807"/>
      <c r="L239" s="1808"/>
    </row>
    <row r="240" spans="2:12">
      <c r="B240" s="1806"/>
      <c r="C240" s="1807"/>
      <c r="D240" s="1807"/>
      <c r="E240" s="1807"/>
      <c r="F240" s="1807"/>
      <c r="G240" s="1807"/>
      <c r="H240" s="1807"/>
      <c r="I240" s="1807"/>
      <c r="J240" s="1807"/>
      <c r="K240" s="1807"/>
      <c r="L240" s="1808"/>
    </row>
    <row r="241" spans="2:12">
      <c r="B241" s="1806"/>
      <c r="C241" s="1807"/>
      <c r="D241" s="1807"/>
      <c r="E241" s="1807"/>
      <c r="F241" s="1807"/>
      <c r="G241" s="1807"/>
      <c r="H241" s="1807"/>
      <c r="I241" s="1807"/>
      <c r="J241" s="1807"/>
      <c r="K241" s="1807"/>
      <c r="L241" s="1808"/>
    </row>
    <row r="242" spans="2:12">
      <c r="B242" s="1806"/>
      <c r="C242" s="1807"/>
      <c r="D242" s="1807"/>
      <c r="E242" s="1807"/>
      <c r="F242" s="1807"/>
      <c r="G242" s="1807"/>
      <c r="H242" s="1807"/>
      <c r="I242" s="1807"/>
      <c r="J242" s="1807"/>
      <c r="K242" s="1807"/>
      <c r="L242" s="1808"/>
    </row>
    <row r="243" spans="2:12">
      <c r="B243" s="1806"/>
      <c r="C243" s="1807"/>
      <c r="D243" s="1807"/>
      <c r="E243" s="1807"/>
      <c r="F243" s="1807"/>
      <c r="G243" s="1807"/>
      <c r="H243" s="1807"/>
      <c r="I243" s="1807"/>
      <c r="J243" s="1807"/>
      <c r="K243" s="1807"/>
      <c r="L243" s="1808"/>
    </row>
    <row r="244" spans="2:12">
      <c r="B244" s="1806"/>
      <c r="C244" s="1807"/>
      <c r="D244" s="1807"/>
      <c r="E244" s="1807"/>
      <c r="F244" s="1807"/>
      <c r="G244" s="1807"/>
      <c r="H244" s="1807"/>
      <c r="I244" s="1807"/>
      <c r="J244" s="1807"/>
      <c r="K244" s="1807"/>
      <c r="L244" s="1808"/>
    </row>
    <row r="245" spans="2:12">
      <c r="B245" s="1806"/>
      <c r="C245" s="1807"/>
      <c r="D245" s="1807"/>
      <c r="E245" s="1807"/>
      <c r="F245" s="1807"/>
      <c r="G245" s="1807"/>
      <c r="H245" s="1807"/>
      <c r="I245" s="1807"/>
      <c r="J245" s="1807"/>
      <c r="K245" s="1807"/>
      <c r="L245" s="1808"/>
    </row>
    <row r="246" spans="2:12">
      <c r="B246" s="1806"/>
      <c r="C246" s="1807"/>
      <c r="D246" s="1807"/>
      <c r="E246" s="1807"/>
      <c r="F246" s="1807"/>
      <c r="G246" s="1807"/>
      <c r="H246" s="1807"/>
      <c r="I246" s="1807"/>
      <c r="J246" s="1807"/>
      <c r="K246" s="1807"/>
      <c r="L246" s="1808"/>
    </row>
    <row r="247" spans="2:12">
      <c r="B247" s="1806"/>
      <c r="C247" s="1807"/>
      <c r="D247" s="1807"/>
      <c r="E247" s="1807"/>
      <c r="F247" s="1807"/>
      <c r="G247" s="1807"/>
      <c r="H247" s="1807"/>
      <c r="I247" s="1807"/>
      <c r="J247" s="1807"/>
      <c r="K247" s="1807"/>
      <c r="L247" s="1808"/>
    </row>
    <row r="248" spans="2:12">
      <c r="B248" s="1806"/>
      <c r="C248" s="1807"/>
      <c r="D248" s="1807"/>
      <c r="E248" s="1807"/>
      <c r="F248" s="1807"/>
      <c r="G248" s="1807"/>
      <c r="H248" s="1807"/>
      <c r="I248" s="1807"/>
      <c r="J248" s="1807"/>
      <c r="K248" s="1807"/>
      <c r="L248" s="1808"/>
    </row>
    <row r="249" spans="2:12">
      <c r="B249" s="1806"/>
      <c r="C249" s="1807"/>
      <c r="D249" s="1807"/>
      <c r="E249" s="1807"/>
      <c r="F249" s="1807"/>
      <c r="G249" s="1807"/>
      <c r="H249" s="1807"/>
      <c r="I249" s="1807"/>
      <c r="J249" s="1807"/>
      <c r="K249" s="1807"/>
      <c r="L249" s="1808"/>
    </row>
    <row r="250" spans="2:12">
      <c r="B250" s="1806"/>
      <c r="C250" s="1807"/>
      <c r="D250" s="1807"/>
      <c r="E250" s="1807"/>
      <c r="F250" s="1807"/>
      <c r="G250" s="1807"/>
      <c r="H250" s="1807"/>
      <c r="I250" s="1807"/>
      <c r="J250" s="1807"/>
      <c r="K250" s="1807"/>
      <c r="L250" s="1808"/>
    </row>
    <row r="251" spans="2:12">
      <c r="B251" s="1806"/>
      <c r="C251" s="1807"/>
      <c r="D251" s="1807"/>
      <c r="E251" s="1807"/>
      <c r="F251" s="1807"/>
      <c r="G251" s="1807"/>
      <c r="H251" s="1807"/>
      <c r="I251" s="1807"/>
      <c r="J251" s="1807"/>
      <c r="K251" s="1807"/>
      <c r="L251" s="1808"/>
    </row>
    <row r="252" spans="2:12">
      <c r="B252" s="1806"/>
      <c r="C252" s="1807"/>
      <c r="D252" s="1807"/>
      <c r="E252" s="1807"/>
      <c r="F252" s="1807"/>
      <c r="G252" s="1807"/>
      <c r="H252" s="1807"/>
      <c r="I252" s="1807"/>
      <c r="J252" s="1807"/>
      <c r="K252" s="1807"/>
      <c r="L252" s="1808"/>
    </row>
    <row r="253" spans="2:12">
      <c r="B253" s="1806"/>
      <c r="C253" s="1807"/>
      <c r="D253" s="1807"/>
      <c r="E253" s="1807"/>
      <c r="F253" s="1807"/>
      <c r="G253" s="1807"/>
      <c r="H253" s="1807"/>
      <c r="I253" s="1807"/>
      <c r="J253" s="1807"/>
      <c r="K253" s="1807"/>
      <c r="L253" s="1808"/>
    </row>
    <row r="254" spans="2:12">
      <c r="B254" s="1806"/>
      <c r="C254" s="1807"/>
      <c r="D254" s="1807"/>
      <c r="E254" s="1807"/>
      <c r="F254" s="1807"/>
      <c r="G254" s="1807"/>
      <c r="H254" s="1807"/>
      <c r="I254" s="1807"/>
      <c r="J254" s="1807"/>
      <c r="K254" s="1807"/>
      <c r="L254" s="1808"/>
    </row>
    <row r="255" spans="2:12">
      <c r="B255" s="1806"/>
      <c r="C255" s="1807"/>
      <c r="D255" s="1807"/>
      <c r="E255" s="1807"/>
      <c r="F255" s="1807"/>
      <c r="G255" s="1807"/>
      <c r="H255" s="1807"/>
      <c r="I255" s="1807"/>
      <c r="J255" s="1807"/>
      <c r="K255" s="1807"/>
      <c r="L255" s="1808"/>
    </row>
    <row r="256" spans="2:12">
      <c r="B256" s="1806"/>
      <c r="C256" s="1807"/>
      <c r="D256" s="1807"/>
      <c r="E256" s="1807"/>
      <c r="F256" s="1807"/>
      <c r="G256" s="1807"/>
      <c r="H256" s="1807"/>
      <c r="I256" s="1807"/>
      <c r="J256" s="1807"/>
      <c r="K256" s="1807"/>
      <c r="L256" s="1808"/>
    </row>
    <row r="257" spans="1:12">
      <c r="B257" s="1806"/>
      <c r="C257" s="1807"/>
      <c r="D257" s="1807"/>
      <c r="E257" s="1807"/>
      <c r="F257" s="1807"/>
      <c r="G257" s="1807"/>
      <c r="H257" s="1807"/>
      <c r="I257" s="1807"/>
      <c r="J257" s="1807"/>
      <c r="K257" s="1807"/>
      <c r="L257" s="1808"/>
    </row>
    <row r="258" spans="1:12">
      <c r="B258" s="1806"/>
      <c r="C258" s="1807"/>
      <c r="D258" s="1807"/>
      <c r="E258" s="1807"/>
      <c r="F258" s="1807"/>
      <c r="G258" s="1807"/>
      <c r="H258" s="1807"/>
      <c r="I258" s="1807"/>
      <c r="J258" s="1807"/>
      <c r="K258" s="1807"/>
      <c r="L258" s="1808"/>
    </row>
    <row r="259" spans="1:12">
      <c r="B259" s="1806"/>
      <c r="C259" s="1807"/>
      <c r="D259" s="1807"/>
      <c r="E259" s="1807"/>
      <c r="F259" s="1807"/>
      <c r="G259" s="1807"/>
      <c r="H259" s="1807"/>
      <c r="I259" s="1807"/>
      <c r="J259" s="1807"/>
      <c r="K259" s="1807"/>
      <c r="L259" s="1808"/>
    </row>
    <row r="260" spans="1:12" ht="13" thickBot="1">
      <c r="B260" s="1809"/>
      <c r="C260" s="1810"/>
      <c r="D260" s="1810"/>
      <c r="E260" s="1810"/>
      <c r="F260" s="1810"/>
      <c r="G260" s="1810"/>
      <c r="H260" s="1810"/>
      <c r="I260" s="1810"/>
      <c r="J260" s="1810"/>
      <c r="K260" s="1810"/>
      <c r="L260" s="1811"/>
    </row>
    <row r="261" spans="1:12" ht="13" thickBot="1">
      <c r="B261" s="1812" t="s">
        <v>417</v>
      </c>
      <c r="C261" s="1812"/>
      <c r="D261" s="342"/>
      <c r="E261" s="342"/>
      <c r="F261" s="342"/>
      <c r="G261" s="343" t="s">
        <v>428</v>
      </c>
      <c r="H261" s="1662" t="str">
        <f>H64</f>
        <v xml:space="preserve"> Sistema ByDesigner Desenvolvido Neri (21) 97014-2420</v>
      </c>
      <c r="I261" s="1662"/>
      <c r="J261" s="1662"/>
      <c r="K261" s="1662"/>
      <c r="L261" s="1662"/>
    </row>
    <row r="262" spans="1:12" ht="13">
      <c r="B262" s="1397" t="s">
        <v>124</v>
      </c>
      <c r="C262" s="1398"/>
      <c r="D262" s="1398"/>
      <c r="E262" s="1400" t="str">
        <f>E196</f>
        <v>Razão Social da Loja</v>
      </c>
      <c r="F262" s="1401"/>
      <c r="G262" s="1401"/>
      <c r="H262" s="1401"/>
      <c r="I262" s="1401"/>
      <c r="J262" s="1402"/>
      <c r="K262" s="1816"/>
      <c r="L262" s="1399"/>
    </row>
    <row r="263" spans="1:12" ht="13">
      <c r="B263" s="1403" t="s">
        <v>125</v>
      </c>
      <c r="C263" s="1404"/>
      <c r="D263" s="1404"/>
      <c r="E263" s="1414" t="str">
        <f>E197</f>
        <v>Nome Fantasia Loja</v>
      </c>
      <c r="F263" s="1415"/>
      <c r="G263" s="1415"/>
      <c r="H263" s="1415"/>
      <c r="I263" s="1415"/>
      <c r="J263" s="1416"/>
      <c r="K263" s="1412" t="s">
        <v>126</v>
      </c>
      <c r="L263" s="1413"/>
    </row>
    <row r="264" spans="1:12">
      <c r="A264" s="117"/>
      <c r="B264" s="1403" t="s">
        <v>426</v>
      </c>
      <c r="C264" s="1404"/>
      <c r="D264" s="1404"/>
      <c r="E264" s="1410" t="str">
        <f>E198</f>
        <v>CNPJ da Loja</v>
      </c>
      <c r="F264" s="1411"/>
      <c r="G264" s="1411"/>
      <c r="H264" s="1417" t="str">
        <f>H330</f>
        <v>Inscrição da loja</v>
      </c>
      <c r="I264" s="1417"/>
      <c r="J264" s="1418"/>
      <c r="K264" s="1868" t="str">
        <f>'1FComprador'!K5:L5</f>
        <v>DG-0625-01</v>
      </c>
      <c r="L264" s="1665"/>
    </row>
    <row r="265" spans="1:12" ht="13">
      <c r="B265" s="1403" t="s">
        <v>128</v>
      </c>
      <c r="C265" s="1404"/>
      <c r="D265" s="1404"/>
      <c r="E265" s="1414" t="str">
        <f>'1FComprador'!E6:J6</f>
        <v>Endereço da Loja</v>
      </c>
      <c r="F265" s="1415"/>
      <c r="G265" s="1415"/>
      <c r="H265" s="1415"/>
      <c r="I265" s="1415"/>
      <c r="J265" s="1416"/>
      <c r="K265" s="1406" t="s">
        <v>129</v>
      </c>
      <c r="L265" s="1407"/>
    </row>
    <row r="266" spans="1:12">
      <c r="B266" s="1421" t="s">
        <v>130</v>
      </c>
      <c r="C266" s="1404"/>
      <c r="D266" s="1404"/>
      <c r="E266" s="1421" t="s">
        <v>423</v>
      </c>
      <c r="F266" s="1422"/>
      <c r="G266" s="1422"/>
      <c r="H266" s="1422" t="s">
        <v>419</v>
      </c>
      <c r="I266" s="1422"/>
      <c r="J266" s="1423"/>
      <c r="K266" s="1821">
        <f ca="1">K69</f>
        <v>46153</v>
      </c>
      <c r="L266" s="1822"/>
    </row>
    <row r="267" spans="1:12" ht="14">
      <c r="B267" s="1403" t="s">
        <v>131</v>
      </c>
      <c r="C267" s="1404"/>
      <c r="D267" s="1404"/>
      <c r="E267" s="1797" t="str">
        <f>'1FComprador'!E8:J8</f>
        <v>E-mail da Loja</v>
      </c>
      <c r="F267" s="1798"/>
      <c r="G267" s="1798"/>
      <c r="H267" s="1798"/>
      <c r="I267" s="1798"/>
      <c r="J267" s="1769"/>
      <c r="K267" s="292" t="s">
        <v>18</v>
      </c>
      <c r="L267" s="291">
        <f>'1FComprador'!$L$8</f>
        <v>1</v>
      </c>
    </row>
    <row r="268" spans="1:12" ht="13" thickBot="1">
      <c r="B268" s="1375" t="str">
        <f>'1FComprador'!B9:D9</f>
        <v>Vendedor 1</v>
      </c>
      <c r="C268" s="1376"/>
      <c r="D268" s="1376"/>
      <c r="E268" s="1375" t="str">
        <f>'1FComprador'!E9:J9</f>
        <v>Vendedor(a) Projetista : Vendedor 1</v>
      </c>
      <c r="F268" s="1376"/>
      <c r="G268" s="1376"/>
      <c r="H268" s="1376"/>
      <c r="I268" s="1376"/>
      <c r="J268" s="1377"/>
      <c r="K268" s="1753" t="str">
        <f>'1FComprador'!$K$9</f>
        <v>Local da loja</v>
      </c>
      <c r="L268" s="1409"/>
    </row>
    <row r="269" spans="1:12">
      <c r="B269" s="1864"/>
      <c r="C269" s="1865"/>
      <c r="D269" s="1865"/>
      <c r="E269" s="1865"/>
      <c r="F269" s="1865"/>
      <c r="G269" s="1865"/>
      <c r="H269" s="1865"/>
      <c r="I269" s="1865"/>
      <c r="J269" s="1865"/>
      <c r="K269" s="1866"/>
      <c r="L269" s="1867"/>
    </row>
    <row r="270" spans="1:12">
      <c r="B270" s="1803" t="s">
        <v>429</v>
      </c>
      <c r="C270" s="1804"/>
      <c r="D270" s="1804"/>
      <c r="E270" s="1804"/>
      <c r="F270" s="1804"/>
      <c r="G270" s="1804"/>
      <c r="H270" s="1804"/>
      <c r="I270" s="1804"/>
      <c r="J270" s="1804"/>
      <c r="K270" s="1804"/>
      <c r="L270" s="1805"/>
    </row>
    <row r="271" spans="1:12">
      <c r="B271" s="1806"/>
      <c r="C271" s="1807"/>
      <c r="D271" s="1807"/>
      <c r="E271" s="1807"/>
      <c r="F271" s="1807"/>
      <c r="G271" s="1807"/>
      <c r="H271" s="1807"/>
      <c r="I271" s="1807"/>
      <c r="J271" s="1807"/>
      <c r="K271" s="1807"/>
      <c r="L271" s="1808"/>
    </row>
    <row r="272" spans="1:12">
      <c r="B272" s="1806"/>
      <c r="C272" s="1807"/>
      <c r="D272" s="1807"/>
      <c r="E272" s="1807"/>
      <c r="F272" s="1807"/>
      <c r="G272" s="1807"/>
      <c r="H272" s="1807"/>
      <c r="I272" s="1807"/>
      <c r="J272" s="1807"/>
      <c r="K272" s="1807"/>
      <c r="L272" s="1808"/>
    </row>
    <row r="273" spans="2:12">
      <c r="B273" s="1806"/>
      <c r="C273" s="1807"/>
      <c r="D273" s="1807"/>
      <c r="E273" s="1807"/>
      <c r="F273" s="1807"/>
      <c r="G273" s="1807"/>
      <c r="H273" s="1807"/>
      <c r="I273" s="1807"/>
      <c r="J273" s="1807"/>
      <c r="K273" s="1807"/>
      <c r="L273" s="1808"/>
    </row>
    <row r="274" spans="2:12">
      <c r="B274" s="1806"/>
      <c r="C274" s="1807"/>
      <c r="D274" s="1807"/>
      <c r="E274" s="1807"/>
      <c r="F274" s="1807"/>
      <c r="G274" s="1807"/>
      <c r="H274" s="1807"/>
      <c r="I274" s="1807"/>
      <c r="J274" s="1807"/>
      <c r="K274" s="1807"/>
      <c r="L274" s="1808"/>
    </row>
    <row r="275" spans="2:12">
      <c r="B275" s="1806"/>
      <c r="C275" s="1807"/>
      <c r="D275" s="1807"/>
      <c r="E275" s="1807"/>
      <c r="F275" s="1807"/>
      <c r="G275" s="1807"/>
      <c r="H275" s="1807"/>
      <c r="I275" s="1807"/>
      <c r="J275" s="1807"/>
      <c r="K275" s="1807"/>
      <c r="L275" s="1808"/>
    </row>
    <row r="276" spans="2:12">
      <c r="B276" s="1806"/>
      <c r="C276" s="1807"/>
      <c r="D276" s="1807"/>
      <c r="E276" s="1807"/>
      <c r="F276" s="1807"/>
      <c r="G276" s="1807"/>
      <c r="H276" s="1807"/>
      <c r="I276" s="1807"/>
      <c r="J276" s="1807"/>
      <c r="K276" s="1807"/>
      <c r="L276" s="1808"/>
    </row>
    <row r="277" spans="2:12">
      <c r="B277" s="1806"/>
      <c r="C277" s="1807"/>
      <c r="D277" s="1807"/>
      <c r="E277" s="1807"/>
      <c r="F277" s="1807"/>
      <c r="G277" s="1807"/>
      <c r="H277" s="1807"/>
      <c r="I277" s="1807"/>
      <c r="J277" s="1807"/>
      <c r="K277" s="1807"/>
      <c r="L277" s="1808"/>
    </row>
    <row r="278" spans="2:12">
      <c r="B278" s="1806"/>
      <c r="C278" s="1807"/>
      <c r="D278" s="1807"/>
      <c r="E278" s="1807"/>
      <c r="F278" s="1807"/>
      <c r="G278" s="1807"/>
      <c r="H278" s="1807"/>
      <c r="I278" s="1807"/>
      <c r="J278" s="1807"/>
      <c r="K278" s="1807"/>
      <c r="L278" s="1808"/>
    </row>
    <row r="279" spans="2:12">
      <c r="B279" s="1806"/>
      <c r="C279" s="1807"/>
      <c r="D279" s="1807"/>
      <c r="E279" s="1807"/>
      <c r="F279" s="1807"/>
      <c r="G279" s="1807"/>
      <c r="H279" s="1807"/>
      <c r="I279" s="1807"/>
      <c r="J279" s="1807"/>
      <c r="K279" s="1807"/>
      <c r="L279" s="1808"/>
    </row>
    <row r="280" spans="2:12">
      <c r="B280" s="1806"/>
      <c r="C280" s="1807"/>
      <c r="D280" s="1807"/>
      <c r="E280" s="1807"/>
      <c r="F280" s="1807"/>
      <c r="G280" s="1807"/>
      <c r="H280" s="1807"/>
      <c r="I280" s="1807"/>
      <c r="J280" s="1807"/>
      <c r="K280" s="1807"/>
      <c r="L280" s="1808"/>
    </row>
    <row r="281" spans="2:12">
      <c r="B281" s="1806"/>
      <c r="C281" s="1807"/>
      <c r="D281" s="1807"/>
      <c r="E281" s="1807"/>
      <c r="F281" s="1807"/>
      <c r="G281" s="1807"/>
      <c r="H281" s="1807"/>
      <c r="I281" s="1807"/>
      <c r="J281" s="1807"/>
      <c r="K281" s="1807"/>
      <c r="L281" s="1808"/>
    </row>
    <row r="282" spans="2:12">
      <c r="B282" s="1806"/>
      <c r="C282" s="1807"/>
      <c r="D282" s="1807"/>
      <c r="E282" s="1807"/>
      <c r="F282" s="1807"/>
      <c r="G282" s="1807"/>
      <c r="H282" s="1807"/>
      <c r="I282" s="1807"/>
      <c r="J282" s="1807"/>
      <c r="K282" s="1807"/>
      <c r="L282" s="1808"/>
    </row>
    <row r="283" spans="2:12">
      <c r="B283" s="1806"/>
      <c r="C283" s="1807"/>
      <c r="D283" s="1807"/>
      <c r="E283" s="1807"/>
      <c r="F283" s="1807"/>
      <c r="G283" s="1807"/>
      <c r="H283" s="1807"/>
      <c r="I283" s="1807"/>
      <c r="J283" s="1807"/>
      <c r="K283" s="1807"/>
      <c r="L283" s="1808"/>
    </row>
    <row r="284" spans="2:12">
      <c r="B284" s="1806"/>
      <c r="C284" s="1807"/>
      <c r="D284" s="1807"/>
      <c r="E284" s="1807"/>
      <c r="F284" s="1807"/>
      <c r="G284" s="1807"/>
      <c r="H284" s="1807"/>
      <c r="I284" s="1807"/>
      <c r="J284" s="1807"/>
      <c r="K284" s="1807"/>
      <c r="L284" s="1808"/>
    </row>
    <row r="285" spans="2:12">
      <c r="B285" s="1806"/>
      <c r="C285" s="1807"/>
      <c r="D285" s="1807"/>
      <c r="E285" s="1807"/>
      <c r="F285" s="1807"/>
      <c r="G285" s="1807"/>
      <c r="H285" s="1807"/>
      <c r="I285" s="1807"/>
      <c r="J285" s="1807"/>
      <c r="K285" s="1807"/>
      <c r="L285" s="1808"/>
    </row>
    <row r="286" spans="2:12">
      <c r="B286" s="1806"/>
      <c r="C286" s="1807"/>
      <c r="D286" s="1807"/>
      <c r="E286" s="1807"/>
      <c r="F286" s="1807"/>
      <c r="G286" s="1807"/>
      <c r="H286" s="1807"/>
      <c r="I286" s="1807"/>
      <c r="J286" s="1807"/>
      <c r="K286" s="1807"/>
      <c r="L286" s="1808"/>
    </row>
    <row r="287" spans="2:12">
      <c r="B287" s="1806"/>
      <c r="C287" s="1807"/>
      <c r="D287" s="1807"/>
      <c r="E287" s="1807"/>
      <c r="F287" s="1807"/>
      <c r="G287" s="1807"/>
      <c r="H287" s="1807"/>
      <c r="I287" s="1807"/>
      <c r="J287" s="1807"/>
      <c r="K287" s="1807"/>
      <c r="L287" s="1808"/>
    </row>
    <row r="288" spans="2:12">
      <c r="B288" s="1806"/>
      <c r="C288" s="1807"/>
      <c r="D288" s="1807"/>
      <c r="E288" s="1807"/>
      <c r="F288" s="1807"/>
      <c r="G288" s="1807"/>
      <c r="H288" s="1807"/>
      <c r="I288" s="1807"/>
      <c r="J288" s="1807"/>
      <c r="K288" s="1807"/>
      <c r="L288" s="1808"/>
    </row>
    <row r="289" spans="2:12">
      <c r="B289" s="1806"/>
      <c r="C289" s="1807"/>
      <c r="D289" s="1807"/>
      <c r="E289" s="1807"/>
      <c r="F289" s="1807"/>
      <c r="G289" s="1807"/>
      <c r="H289" s="1807"/>
      <c r="I289" s="1807"/>
      <c r="J289" s="1807"/>
      <c r="K289" s="1807"/>
      <c r="L289" s="1808"/>
    </row>
    <row r="290" spans="2:12">
      <c r="B290" s="1806"/>
      <c r="C290" s="1807"/>
      <c r="D290" s="1807"/>
      <c r="E290" s="1807"/>
      <c r="F290" s="1807"/>
      <c r="G290" s="1807"/>
      <c r="H290" s="1807"/>
      <c r="I290" s="1807"/>
      <c r="J290" s="1807"/>
      <c r="K290" s="1807"/>
      <c r="L290" s="1808"/>
    </row>
    <row r="291" spans="2:12">
      <c r="B291" s="1806"/>
      <c r="C291" s="1807"/>
      <c r="D291" s="1807"/>
      <c r="E291" s="1807"/>
      <c r="F291" s="1807"/>
      <c r="G291" s="1807"/>
      <c r="H291" s="1807"/>
      <c r="I291" s="1807"/>
      <c r="J291" s="1807"/>
      <c r="K291" s="1807"/>
      <c r="L291" s="1808"/>
    </row>
    <row r="292" spans="2:12">
      <c r="B292" s="1806"/>
      <c r="C292" s="1807"/>
      <c r="D292" s="1807"/>
      <c r="E292" s="1807"/>
      <c r="F292" s="1807"/>
      <c r="G292" s="1807"/>
      <c r="H292" s="1807"/>
      <c r="I292" s="1807"/>
      <c r="J292" s="1807"/>
      <c r="K292" s="1807"/>
      <c r="L292" s="1808"/>
    </row>
    <row r="293" spans="2:12">
      <c r="B293" s="1806"/>
      <c r="C293" s="1807"/>
      <c r="D293" s="1807"/>
      <c r="E293" s="1807"/>
      <c r="F293" s="1807"/>
      <c r="G293" s="1807"/>
      <c r="H293" s="1807"/>
      <c r="I293" s="1807"/>
      <c r="J293" s="1807"/>
      <c r="K293" s="1807"/>
      <c r="L293" s="1808"/>
    </row>
    <row r="294" spans="2:12">
      <c r="B294" s="1806"/>
      <c r="C294" s="1807"/>
      <c r="D294" s="1807"/>
      <c r="E294" s="1807"/>
      <c r="F294" s="1807"/>
      <c r="G294" s="1807"/>
      <c r="H294" s="1807"/>
      <c r="I294" s="1807"/>
      <c r="J294" s="1807"/>
      <c r="K294" s="1807"/>
      <c r="L294" s="1808"/>
    </row>
    <row r="295" spans="2:12">
      <c r="B295" s="1806"/>
      <c r="C295" s="1807"/>
      <c r="D295" s="1807"/>
      <c r="E295" s="1807"/>
      <c r="F295" s="1807"/>
      <c r="G295" s="1807"/>
      <c r="H295" s="1807"/>
      <c r="I295" s="1807"/>
      <c r="J295" s="1807"/>
      <c r="K295" s="1807"/>
      <c r="L295" s="1808"/>
    </row>
    <row r="296" spans="2:12">
      <c r="B296" s="1806"/>
      <c r="C296" s="1807"/>
      <c r="D296" s="1807"/>
      <c r="E296" s="1807"/>
      <c r="F296" s="1807"/>
      <c r="G296" s="1807"/>
      <c r="H296" s="1807"/>
      <c r="I296" s="1807"/>
      <c r="J296" s="1807"/>
      <c r="K296" s="1807"/>
      <c r="L296" s="1808"/>
    </row>
    <row r="297" spans="2:12">
      <c r="B297" s="1806"/>
      <c r="C297" s="1807"/>
      <c r="D297" s="1807"/>
      <c r="E297" s="1807"/>
      <c r="F297" s="1807"/>
      <c r="G297" s="1807"/>
      <c r="H297" s="1807"/>
      <c r="I297" s="1807"/>
      <c r="J297" s="1807"/>
      <c r="K297" s="1807"/>
      <c r="L297" s="1808"/>
    </row>
    <row r="298" spans="2:12">
      <c r="B298" s="1806"/>
      <c r="C298" s="1807"/>
      <c r="D298" s="1807"/>
      <c r="E298" s="1807"/>
      <c r="F298" s="1807"/>
      <c r="G298" s="1807"/>
      <c r="H298" s="1807"/>
      <c r="I298" s="1807"/>
      <c r="J298" s="1807"/>
      <c r="K298" s="1807"/>
      <c r="L298" s="1808"/>
    </row>
    <row r="299" spans="2:12">
      <c r="B299" s="1806"/>
      <c r="C299" s="1807"/>
      <c r="D299" s="1807"/>
      <c r="E299" s="1807"/>
      <c r="F299" s="1807"/>
      <c r="G299" s="1807"/>
      <c r="H299" s="1807"/>
      <c r="I299" s="1807"/>
      <c r="J299" s="1807"/>
      <c r="K299" s="1807"/>
      <c r="L299" s="1808"/>
    </row>
    <row r="300" spans="2:12">
      <c r="B300" s="1806"/>
      <c r="C300" s="1807"/>
      <c r="D300" s="1807"/>
      <c r="E300" s="1807"/>
      <c r="F300" s="1807"/>
      <c r="G300" s="1807"/>
      <c r="H300" s="1807"/>
      <c r="I300" s="1807"/>
      <c r="J300" s="1807"/>
      <c r="K300" s="1807"/>
      <c r="L300" s="1808"/>
    </row>
    <row r="301" spans="2:12">
      <c r="B301" s="1806"/>
      <c r="C301" s="1807"/>
      <c r="D301" s="1807"/>
      <c r="E301" s="1807"/>
      <c r="F301" s="1807"/>
      <c r="G301" s="1807"/>
      <c r="H301" s="1807"/>
      <c r="I301" s="1807"/>
      <c r="J301" s="1807"/>
      <c r="K301" s="1807"/>
      <c r="L301" s="1808"/>
    </row>
    <row r="302" spans="2:12">
      <c r="B302" s="1806"/>
      <c r="C302" s="1807"/>
      <c r="D302" s="1807"/>
      <c r="E302" s="1807"/>
      <c r="F302" s="1807"/>
      <c r="G302" s="1807"/>
      <c r="H302" s="1807"/>
      <c r="I302" s="1807"/>
      <c r="J302" s="1807"/>
      <c r="K302" s="1807"/>
      <c r="L302" s="1808"/>
    </row>
    <row r="303" spans="2:12">
      <c r="B303" s="1806"/>
      <c r="C303" s="1807"/>
      <c r="D303" s="1807"/>
      <c r="E303" s="1807"/>
      <c r="F303" s="1807"/>
      <c r="G303" s="1807"/>
      <c r="H303" s="1807"/>
      <c r="I303" s="1807"/>
      <c r="J303" s="1807"/>
      <c r="K303" s="1807"/>
      <c r="L303" s="1808"/>
    </row>
    <row r="304" spans="2:12">
      <c r="B304" s="1806"/>
      <c r="C304" s="1807"/>
      <c r="D304" s="1807"/>
      <c r="E304" s="1807"/>
      <c r="F304" s="1807"/>
      <c r="G304" s="1807"/>
      <c r="H304" s="1807"/>
      <c r="I304" s="1807"/>
      <c r="J304" s="1807"/>
      <c r="K304" s="1807"/>
      <c r="L304" s="1808"/>
    </row>
    <row r="305" spans="2:12">
      <c r="B305" s="1806"/>
      <c r="C305" s="1807"/>
      <c r="D305" s="1807"/>
      <c r="E305" s="1807"/>
      <c r="F305" s="1807"/>
      <c r="G305" s="1807"/>
      <c r="H305" s="1807"/>
      <c r="I305" s="1807"/>
      <c r="J305" s="1807"/>
      <c r="K305" s="1807"/>
      <c r="L305" s="1808"/>
    </row>
    <row r="306" spans="2:12">
      <c r="B306" s="1806"/>
      <c r="C306" s="1807"/>
      <c r="D306" s="1807"/>
      <c r="E306" s="1807"/>
      <c r="F306" s="1807"/>
      <c r="G306" s="1807"/>
      <c r="H306" s="1807"/>
      <c r="I306" s="1807"/>
      <c r="J306" s="1807"/>
      <c r="K306" s="1807"/>
      <c r="L306" s="1808"/>
    </row>
    <row r="307" spans="2:12">
      <c r="B307" s="1806"/>
      <c r="C307" s="1807"/>
      <c r="D307" s="1807"/>
      <c r="E307" s="1807"/>
      <c r="F307" s="1807"/>
      <c r="G307" s="1807"/>
      <c r="H307" s="1807"/>
      <c r="I307" s="1807"/>
      <c r="J307" s="1807"/>
      <c r="K307" s="1807"/>
      <c r="L307" s="1808"/>
    </row>
    <row r="308" spans="2:12">
      <c r="B308" s="1806"/>
      <c r="C308" s="1807"/>
      <c r="D308" s="1807"/>
      <c r="E308" s="1807"/>
      <c r="F308" s="1807"/>
      <c r="G308" s="1807"/>
      <c r="H308" s="1807"/>
      <c r="I308" s="1807"/>
      <c r="J308" s="1807"/>
      <c r="K308" s="1807"/>
      <c r="L308" s="1808"/>
    </row>
    <row r="309" spans="2:12">
      <c r="B309" s="1806"/>
      <c r="C309" s="1807"/>
      <c r="D309" s="1807"/>
      <c r="E309" s="1807"/>
      <c r="F309" s="1807"/>
      <c r="G309" s="1807"/>
      <c r="H309" s="1807"/>
      <c r="I309" s="1807"/>
      <c r="J309" s="1807"/>
      <c r="K309" s="1807"/>
      <c r="L309" s="1808"/>
    </row>
    <row r="310" spans="2:12">
      <c r="B310" s="1806"/>
      <c r="C310" s="1807"/>
      <c r="D310" s="1807"/>
      <c r="E310" s="1807"/>
      <c r="F310" s="1807"/>
      <c r="G310" s="1807"/>
      <c r="H310" s="1807"/>
      <c r="I310" s="1807"/>
      <c r="J310" s="1807"/>
      <c r="K310" s="1807"/>
      <c r="L310" s="1808"/>
    </row>
    <row r="311" spans="2:12">
      <c r="B311" s="1806"/>
      <c r="C311" s="1807"/>
      <c r="D311" s="1807"/>
      <c r="E311" s="1807"/>
      <c r="F311" s="1807"/>
      <c r="G311" s="1807"/>
      <c r="H311" s="1807"/>
      <c r="I311" s="1807"/>
      <c r="J311" s="1807"/>
      <c r="K311" s="1807"/>
      <c r="L311" s="1808"/>
    </row>
    <row r="312" spans="2:12">
      <c r="B312" s="1806"/>
      <c r="C312" s="1807"/>
      <c r="D312" s="1807"/>
      <c r="E312" s="1807"/>
      <c r="F312" s="1807"/>
      <c r="G312" s="1807"/>
      <c r="H312" s="1807"/>
      <c r="I312" s="1807"/>
      <c r="J312" s="1807"/>
      <c r="K312" s="1807"/>
      <c r="L312" s="1808"/>
    </row>
    <row r="313" spans="2:12">
      <c r="B313" s="1806"/>
      <c r="C313" s="1807"/>
      <c r="D313" s="1807"/>
      <c r="E313" s="1807"/>
      <c r="F313" s="1807"/>
      <c r="G313" s="1807"/>
      <c r="H313" s="1807"/>
      <c r="I313" s="1807"/>
      <c r="J313" s="1807"/>
      <c r="K313" s="1807"/>
      <c r="L313" s="1808"/>
    </row>
    <row r="314" spans="2:12">
      <c r="B314" s="1806"/>
      <c r="C314" s="1807"/>
      <c r="D314" s="1807"/>
      <c r="E314" s="1807"/>
      <c r="F314" s="1807"/>
      <c r="G314" s="1807"/>
      <c r="H314" s="1807"/>
      <c r="I314" s="1807"/>
      <c r="J314" s="1807"/>
      <c r="K314" s="1807"/>
      <c r="L314" s="1808"/>
    </row>
    <row r="315" spans="2:12">
      <c r="B315" s="1806"/>
      <c r="C315" s="1807"/>
      <c r="D315" s="1807"/>
      <c r="E315" s="1807"/>
      <c r="F315" s="1807"/>
      <c r="G315" s="1807"/>
      <c r="H315" s="1807"/>
      <c r="I315" s="1807"/>
      <c r="J315" s="1807"/>
      <c r="K315" s="1807"/>
      <c r="L315" s="1808"/>
    </row>
    <row r="316" spans="2:12">
      <c r="B316" s="1806"/>
      <c r="C316" s="1807"/>
      <c r="D316" s="1807"/>
      <c r="E316" s="1807"/>
      <c r="F316" s="1807"/>
      <c r="G316" s="1807"/>
      <c r="H316" s="1807"/>
      <c r="I316" s="1807"/>
      <c r="J316" s="1807"/>
      <c r="K316" s="1807"/>
      <c r="L316" s="1808"/>
    </row>
    <row r="317" spans="2:12">
      <c r="B317" s="1806"/>
      <c r="C317" s="1807"/>
      <c r="D317" s="1807"/>
      <c r="E317" s="1807"/>
      <c r="F317" s="1807"/>
      <c r="G317" s="1807"/>
      <c r="H317" s="1807"/>
      <c r="I317" s="1807"/>
      <c r="J317" s="1807"/>
      <c r="K317" s="1807"/>
      <c r="L317" s="1808"/>
    </row>
    <row r="318" spans="2:12">
      <c r="B318" s="1806"/>
      <c r="C318" s="1807"/>
      <c r="D318" s="1807"/>
      <c r="E318" s="1807"/>
      <c r="F318" s="1807"/>
      <c r="G318" s="1807"/>
      <c r="H318" s="1807"/>
      <c r="I318" s="1807"/>
      <c r="J318" s="1807"/>
      <c r="K318" s="1807"/>
      <c r="L318" s="1808"/>
    </row>
    <row r="319" spans="2:12">
      <c r="B319" s="1806"/>
      <c r="C319" s="1807"/>
      <c r="D319" s="1807"/>
      <c r="E319" s="1807"/>
      <c r="F319" s="1807"/>
      <c r="G319" s="1807"/>
      <c r="H319" s="1807"/>
      <c r="I319" s="1807"/>
      <c r="J319" s="1807"/>
      <c r="K319" s="1807"/>
      <c r="L319" s="1808"/>
    </row>
    <row r="320" spans="2:12">
      <c r="B320" s="1806"/>
      <c r="C320" s="1807"/>
      <c r="D320" s="1807"/>
      <c r="E320" s="1807"/>
      <c r="F320" s="1807"/>
      <c r="G320" s="1807"/>
      <c r="H320" s="1807"/>
      <c r="I320" s="1807"/>
      <c r="J320" s="1807"/>
      <c r="K320" s="1807"/>
      <c r="L320" s="1808"/>
    </row>
    <row r="321" spans="1:12">
      <c r="B321" s="1806"/>
      <c r="C321" s="1807"/>
      <c r="D321" s="1807"/>
      <c r="E321" s="1807"/>
      <c r="F321" s="1807"/>
      <c r="G321" s="1807"/>
      <c r="H321" s="1807"/>
      <c r="I321" s="1807"/>
      <c r="J321" s="1807"/>
      <c r="K321" s="1807"/>
      <c r="L321" s="1808"/>
    </row>
    <row r="322" spans="1:12">
      <c r="B322" s="1806"/>
      <c r="C322" s="1807"/>
      <c r="D322" s="1807"/>
      <c r="E322" s="1807"/>
      <c r="F322" s="1807"/>
      <c r="G322" s="1807"/>
      <c r="H322" s="1807"/>
      <c r="I322" s="1807"/>
      <c r="J322" s="1807"/>
      <c r="K322" s="1807"/>
      <c r="L322" s="1808"/>
    </row>
    <row r="323" spans="1:12">
      <c r="B323" s="1806"/>
      <c r="C323" s="1807"/>
      <c r="D323" s="1807"/>
      <c r="E323" s="1807"/>
      <c r="F323" s="1807"/>
      <c r="G323" s="1807"/>
      <c r="H323" s="1807"/>
      <c r="I323" s="1807"/>
      <c r="J323" s="1807"/>
      <c r="K323" s="1807"/>
      <c r="L323" s="1808"/>
    </row>
    <row r="324" spans="1:12">
      <c r="B324" s="1806"/>
      <c r="C324" s="1807"/>
      <c r="D324" s="1807"/>
      <c r="E324" s="1807"/>
      <c r="F324" s="1807"/>
      <c r="G324" s="1807"/>
      <c r="H324" s="1807"/>
      <c r="I324" s="1807"/>
      <c r="J324" s="1807"/>
      <c r="K324" s="1807"/>
      <c r="L324" s="1808"/>
    </row>
    <row r="325" spans="1:12">
      <c r="B325" s="1806"/>
      <c r="C325" s="1807"/>
      <c r="D325" s="1807"/>
      <c r="E325" s="1807"/>
      <c r="F325" s="1807"/>
      <c r="G325" s="1807"/>
      <c r="H325" s="1807"/>
      <c r="I325" s="1807"/>
      <c r="J325" s="1807"/>
      <c r="K325" s="1807"/>
      <c r="L325" s="1808"/>
    </row>
    <row r="326" spans="1:12" ht="13" thickBot="1">
      <c r="B326" s="1809"/>
      <c r="C326" s="1810"/>
      <c r="D326" s="1810"/>
      <c r="E326" s="1810"/>
      <c r="F326" s="1810"/>
      <c r="G326" s="1810"/>
      <c r="H326" s="1810"/>
      <c r="I326" s="1810"/>
      <c r="J326" s="1810"/>
      <c r="K326" s="1810"/>
      <c r="L326" s="1811"/>
    </row>
    <row r="327" spans="1:12" ht="13" thickBot="1">
      <c r="B327" s="1668" t="s">
        <v>417</v>
      </c>
      <c r="C327" s="1668"/>
      <c r="D327" s="342"/>
      <c r="E327" s="342"/>
      <c r="F327" s="342"/>
      <c r="G327" s="343" t="s">
        <v>430</v>
      </c>
      <c r="H327" s="1662" t="str">
        <f>H64</f>
        <v xml:space="preserve"> Sistema ByDesigner Desenvolvido Neri (21) 97014-2420</v>
      </c>
      <c r="I327" s="1662"/>
      <c r="J327" s="1662"/>
      <c r="K327" s="1662"/>
      <c r="L327" s="1662"/>
    </row>
    <row r="328" spans="1:12" ht="13">
      <c r="B328" s="1397" t="s">
        <v>124</v>
      </c>
      <c r="C328" s="1398"/>
      <c r="D328" s="1398"/>
      <c r="E328" s="1400" t="str">
        <f>E262</f>
        <v>Razão Social da Loja</v>
      </c>
      <c r="F328" s="1401"/>
      <c r="G328" s="1401"/>
      <c r="H328" s="1401"/>
      <c r="I328" s="1401"/>
      <c r="J328" s="1402"/>
      <c r="K328" s="1816"/>
      <c r="L328" s="1399"/>
    </row>
    <row r="329" spans="1:12" ht="13">
      <c r="B329" s="1403" t="s">
        <v>125</v>
      </c>
      <c r="C329" s="1404"/>
      <c r="D329" s="1404"/>
      <c r="E329" s="1414" t="str">
        <f>E263</f>
        <v>Nome Fantasia Loja</v>
      </c>
      <c r="F329" s="1415"/>
      <c r="G329" s="1415"/>
      <c r="H329" s="1415"/>
      <c r="I329" s="1415"/>
      <c r="J329" s="1416"/>
      <c r="K329" s="1412" t="s">
        <v>126</v>
      </c>
      <c r="L329" s="1413"/>
    </row>
    <row r="330" spans="1:12">
      <c r="A330" s="117"/>
      <c r="B330" s="1403" t="s">
        <v>426</v>
      </c>
      <c r="C330" s="1404"/>
      <c r="D330" s="1404"/>
      <c r="E330" s="1410" t="str">
        <f>'1FComprador'!E5</f>
        <v>CNPJ da Loja</v>
      </c>
      <c r="F330" s="1411"/>
      <c r="G330" s="1411"/>
      <c r="H330" s="1417" t="str">
        <f>H396</f>
        <v>Inscrição da loja</v>
      </c>
      <c r="I330" s="1417"/>
      <c r="J330" s="1418"/>
      <c r="K330" s="1868" t="str">
        <f>'1FComprador'!K5:L5</f>
        <v>DG-0625-01</v>
      </c>
      <c r="L330" s="1665"/>
    </row>
    <row r="331" spans="1:12" ht="13">
      <c r="B331" s="1403" t="s">
        <v>128</v>
      </c>
      <c r="C331" s="1404"/>
      <c r="D331" s="1404"/>
      <c r="E331" s="1414" t="str">
        <f>'1FComprador'!E6:J6</f>
        <v>Endereço da Loja</v>
      </c>
      <c r="F331" s="1415"/>
      <c r="G331" s="1415"/>
      <c r="H331" s="1415"/>
      <c r="I331" s="1415"/>
      <c r="J331" s="1416"/>
      <c r="K331" s="1406" t="s">
        <v>129</v>
      </c>
      <c r="L331" s="1407"/>
    </row>
    <row r="332" spans="1:12">
      <c r="B332" s="1421" t="s">
        <v>130</v>
      </c>
      <c r="C332" s="1404"/>
      <c r="D332" s="1404"/>
      <c r="E332" s="1421" t="s">
        <v>423</v>
      </c>
      <c r="F332" s="1422"/>
      <c r="G332" s="1422"/>
      <c r="H332" s="1422" t="s">
        <v>419</v>
      </c>
      <c r="I332" s="1422"/>
      <c r="J332" s="1423"/>
      <c r="K332" s="1821">
        <f ca="1">K69</f>
        <v>46153</v>
      </c>
      <c r="L332" s="1822"/>
    </row>
    <row r="333" spans="1:12" ht="14">
      <c r="B333" s="1403" t="s">
        <v>131</v>
      </c>
      <c r="C333" s="1404"/>
      <c r="D333" s="1404"/>
      <c r="E333" s="1797" t="str">
        <f>'1FComprador'!E8:J8</f>
        <v>E-mail da Loja</v>
      </c>
      <c r="F333" s="1798"/>
      <c r="G333" s="1798"/>
      <c r="H333" s="1798"/>
      <c r="I333" s="1798"/>
      <c r="J333" s="1769"/>
      <c r="K333" s="292" t="s">
        <v>18</v>
      </c>
      <c r="L333" s="291">
        <f>'1FComprador'!$L$8</f>
        <v>1</v>
      </c>
    </row>
    <row r="334" spans="1:12" ht="13" thickBot="1">
      <c r="B334" s="1375" t="str">
        <f>'1FComprador'!B9:D9</f>
        <v>Vendedor 1</v>
      </c>
      <c r="C334" s="1376"/>
      <c r="D334" s="1376"/>
      <c r="E334" s="1375" t="str">
        <f>'1FComprador'!E9:J9</f>
        <v>Vendedor(a) Projetista : Vendedor 1</v>
      </c>
      <c r="F334" s="1376"/>
      <c r="G334" s="1376"/>
      <c r="H334" s="1376"/>
      <c r="I334" s="1376"/>
      <c r="J334" s="1377"/>
      <c r="K334" s="1753" t="str">
        <f>'1FComprador'!$K$9</f>
        <v>Local da loja</v>
      </c>
      <c r="L334" s="1409"/>
    </row>
    <row r="335" spans="1:12">
      <c r="B335" s="1799"/>
      <c r="C335" s="1800"/>
      <c r="D335" s="1800"/>
      <c r="E335" s="1800"/>
      <c r="F335" s="1800"/>
      <c r="G335" s="1800"/>
      <c r="H335" s="1800"/>
      <c r="I335" s="1800"/>
      <c r="J335" s="1800"/>
      <c r="K335" s="1801"/>
      <c r="L335" s="1802"/>
    </row>
    <row r="336" spans="1:12" ht="12.75" customHeight="1">
      <c r="B336" s="1803" t="s">
        <v>431</v>
      </c>
      <c r="C336" s="1873"/>
      <c r="D336" s="1873"/>
      <c r="E336" s="1873"/>
      <c r="F336" s="1873"/>
      <c r="G336" s="1873"/>
      <c r="H336" s="1873"/>
      <c r="I336" s="1873"/>
      <c r="J336" s="1873"/>
      <c r="K336" s="1873"/>
      <c r="L336" s="1874"/>
    </row>
    <row r="337" spans="2:12" ht="12.75" customHeight="1">
      <c r="B337" s="1815"/>
      <c r="C337" s="1875"/>
      <c r="D337" s="1875"/>
      <c r="E337" s="1875"/>
      <c r="F337" s="1875"/>
      <c r="G337" s="1875"/>
      <c r="H337" s="1875"/>
      <c r="I337" s="1875"/>
      <c r="J337" s="1875"/>
      <c r="K337" s="1875"/>
      <c r="L337" s="1876"/>
    </row>
    <row r="338" spans="2:12" ht="12.75" customHeight="1">
      <c r="B338" s="1815"/>
      <c r="C338" s="1875"/>
      <c r="D338" s="1875"/>
      <c r="E338" s="1875"/>
      <c r="F338" s="1875"/>
      <c r="G338" s="1875"/>
      <c r="H338" s="1875"/>
      <c r="I338" s="1875"/>
      <c r="J338" s="1875"/>
      <c r="K338" s="1875"/>
      <c r="L338" s="1876"/>
    </row>
    <row r="339" spans="2:12" ht="12.75" customHeight="1">
      <c r="B339" s="1815"/>
      <c r="C339" s="1875"/>
      <c r="D339" s="1875"/>
      <c r="E339" s="1875"/>
      <c r="F339" s="1875"/>
      <c r="G339" s="1875"/>
      <c r="H339" s="1875"/>
      <c r="I339" s="1875"/>
      <c r="J339" s="1875"/>
      <c r="K339" s="1875"/>
      <c r="L339" s="1876"/>
    </row>
    <row r="340" spans="2:12" ht="12.75" customHeight="1">
      <c r="B340" s="1815"/>
      <c r="C340" s="1875"/>
      <c r="D340" s="1875"/>
      <c r="E340" s="1875"/>
      <c r="F340" s="1875"/>
      <c r="G340" s="1875"/>
      <c r="H340" s="1875"/>
      <c r="I340" s="1875"/>
      <c r="J340" s="1875"/>
      <c r="K340" s="1875"/>
      <c r="L340" s="1876"/>
    </row>
    <row r="341" spans="2:12" ht="12.75" customHeight="1">
      <c r="B341" s="1815"/>
      <c r="C341" s="1875"/>
      <c r="D341" s="1875"/>
      <c r="E341" s="1875"/>
      <c r="F341" s="1875"/>
      <c r="G341" s="1875"/>
      <c r="H341" s="1875"/>
      <c r="I341" s="1875"/>
      <c r="J341" s="1875"/>
      <c r="K341" s="1875"/>
      <c r="L341" s="1876"/>
    </row>
    <row r="342" spans="2:12" ht="12.75" customHeight="1">
      <c r="B342" s="1815"/>
      <c r="C342" s="1875"/>
      <c r="D342" s="1875"/>
      <c r="E342" s="1875"/>
      <c r="F342" s="1875"/>
      <c r="G342" s="1875"/>
      <c r="H342" s="1875"/>
      <c r="I342" s="1875"/>
      <c r="J342" s="1875"/>
      <c r="K342" s="1875"/>
      <c r="L342" s="1876"/>
    </row>
    <row r="343" spans="2:12" ht="12.75" customHeight="1">
      <c r="B343" s="1815"/>
      <c r="C343" s="1875"/>
      <c r="D343" s="1875"/>
      <c r="E343" s="1875"/>
      <c r="F343" s="1875"/>
      <c r="G343" s="1875"/>
      <c r="H343" s="1875"/>
      <c r="I343" s="1875"/>
      <c r="J343" s="1875"/>
      <c r="K343" s="1875"/>
      <c r="L343" s="1876"/>
    </row>
    <row r="344" spans="2:12" ht="12.75" customHeight="1">
      <c r="B344" s="1815"/>
      <c r="C344" s="1875"/>
      <c r="D344" s="1875"/>
      <c r="E344" s="1875"/>
      <c r="F344" s="1875"/>
      <c r="G344" s="1875"/>
      <c r="H344" s="1875"/>
      <c r="I344" s="1875"/>
      <c r="J344" s="1875"/>
      <c r="K344" s="1875"/>
      <c r="L344" s="1876"/>
    </row>
    <row r="345" spans="2:12" ht="12.75" customHeight="1">
      <c r="B345" s="1815"/>
      <c r="C345" s="1875"/>
      <c r="D345" s="1875"/>
      <c r="E345" s="1875"/>
      <c r="F345" s="1875"/>
      <c r="G345" s="1875"/>
      <c r="H345" s="1875"/>
      <c r="I345" s="1875"/>
      <c r="J345" s="1875"/>
      <c r="K345" s="1875"/>
      <c r="L345" s="1876"/>
    </row>
    <row r="346" spans="2:12" ht="12.75" customHeight="1">
      <c r="B346" s="1815"/>
      <c r="C346" s="1875"/>
      <c r="D346" s="1875"/>
      <c r="E346" s="1875"/>
      <c r="F346" s="1875"/>
      <c r="G346" s="1875"/>
      <c r="H346" s="1875"/>
      <c r="I346" s="1875"/>
      <c r="J346" s="1875"/>
      <c r="K346" s="1875"/>
      <c r="L346" s="1876"/>
    </row>
    <row r="347" spans="2:12" ht="12.75" customHeight="1">
      <c r="B347" s="1815"/>
      <c r="C347" s="1875"/>
      <c r="D347" s="1875"/>
      <c r="E347" s="1875"/>
      <c r="F347" s="1875"/>
      <c r="G347" s="1875"/>
      <c r="H347" s="1875"/>
      <c r="I347" s="1875"/>
      <c r="J347" s="1875"/>
      <c r="K347" s="1875"/>
      <c r="L347" s="1876"/>
    </row>
    <row r="348" spans="2:12" ht="12.75" customHeight="1">
      <c r="B348" s="1815"/>
      <c r="C348" s="1875"/>
      <c r="D348" s="1875"/>
      <c r="E348" s="1875"/>
      <c r="F348" s="1875"/>
      <c r="G348" s="1875"/>
      <c r="H348" s="1875"/>
      <c r="I348" s="1875"/>
      <c r="J348" s="1875"/>
      <c r="K348" s="1875"/>
      <c r="L348" s="1876"/>
    </row>
    <row r="349" spans="2:12" ht="12.75" customHeight="1">
      <c r="B349" s="1815"/>
      <c r="C349" s="1875"/>
      <c r="D349" s="1875"/>
      <c r="E349" s="1875"/>
      <c r="F349" s="1875"/>
      <c r="G349" s="1875"/>
      <c r="H349" s="1875"/>
      <c r="I349" s="1875"/>
      <c r="J349" s="1875"/>
      <c r="K349" s="1875"/>
      <c r="L349" s="1876"/>
    </row>
    <row r="350" spans="2:12" ht="12.75" customHeight="1">
      <c r="B350" s="1815"/>
      <c r="C350" s="1875"/>
      <c r="D350" s="1875"/>
      <c r="E350" s="1875"/>
      <c r="F350" s="1875"/>
      <c r="G350" s="1875"/>
      <c r="H350" s="1875"/>
      <c r="I350" s="1875"/>
      <c r="J350" s="1875"/>
      <c r="K350" s="1875"/>
      <c r="L350" s="1876"/>
    </row>
    <row r="351" spans="2:12" ht="12.75" customHeight="1">
      <c r="B351" s="1815"/>
      <c r="C351" s="1875"/>
      <c r="D351" s="1875"/>
      <c r="E351" s="1875"/>
      <c r="F351" s="1875"/>
      <c r="G351" s="1875"/>
      <c r="H351" s="1875"/>
      <c r="I351" s="1875"/>
      <c r="J351" s="1875"/>
      <c r="K351" s="1875"/>
      <c r="L351" s="1876"/>
    </row>
    <row r="352" spans="2:12" ht="12.75" customHeight="1">
      <c r="B352" s="1815"/>
      <c r="C352" s="1875"/>
      <c r="D352" s="1875"/>
      <c r="E352" s="1875"/>
      <c r="F352" s="1875"/>
      <c r="G352" s="1875"/>
      <c r="H352" s="1875"/>
      <c r="I352" s="1875"/>
      <c r="J352" s="1875"/>
      <c r="K352" s="1875"/>
      <c r="L352" s="1876"/>
    </row>
    <row r="353" spans="2:12" ht="12.75" customHeight="1">
      <c r="B353" s="1815"/>
      <c r="C353" s="1875"/>
      <c r="D353" s="1875"/>
      <c r="E353" s="1875"/>
      <c r="F353" s="1875"/>
      <c r="G353" s="1875"/>
      <c r="H353" s="1875"/>
      <c r="I353" s="1875"/>
      <c r="J353" s="1875"/>
      <c r="K353" s="1875"/>
      <c r="L353" s="1876"/>
    </row>
    <row r="354" spans="2:12" ht="12.75" customHeight="1">
      <c r="B354" s="1815"/>
      <c r="C354" s="1875"/>
      <c r="D354" s="1875"/>
      <c r="E354" s="1875"/>
      <c r="F354" s="1875"/>
      <c r="G354" s="1875"/>
      <c r="H354" s="1875"/>
      <c r="I354" s="1875"/>
      <c r="J354" s="1875"/>
      <c r="K354" s="1875"/>
      <c r="L354" s="1876"/>
    </row>
    <row r="355" spans="2:12" ht="12.75" customHeight="1">
      <c r="B355" s="1815"/>
      <c r="C355" s="1875"/>
      <c r="D355" s="1875"/>
      <c r="E355" s="1875"/>
      <c r="F355" s="1875"/>
      <c r="G355" s="1875"/>
      <c r="H355" s="1875"/>
      <c r="I355" s="1875"/>
      <c r="J355" s="1875"/>
      <c r="K355" s="1875"/>
      <c r="L355" s="1876"/>
    </row>
    <row r="356" spans="2:12" ht="12.75" customHeight="1">
      <c r="B356" s="1815"/>
      <c r="C356" s="1875"/>
      <c r="D356" s="1875"/>
      <c r="E356" s="1875"/>
      <c r="F356" s="1875"/>
      <c r="G356" s="1875"/>
      <c r="H356" s="1875"/>
      <c r="I356" s="1875"/>
      <c r="J356" s="1875"/>
      <c r="K356" s="1875"/>
      <c r="L356" s="1876"/>
    </row>
    <row r="357" spans="2:12" ht="12.75" customHeight="1">
      <c r="B357" s="1815"/>
      <c r="C357" s="1875"/>
      <c r="D357" s="1875"/>
      <c r="E357" s="1875"/>
      <c r="F357" s="1875"/>
      <c r="G357" s="1875"/>
      <c r="H357" s="1875"/>
      <c r="I357" s="1875"/>
      <c r="J357" s="1875"/>
      <c r="K357" s="1875"/>
      <c r="L357" s="1876"/>
    </row>
    <row r="358" spans="2:12" ht="12.75" customHeight="1">
      <c r="B358" s="1815"/>
      <c r="C358" s="1875"/>
      <c r="D358" s="1875"/>
      <c r="E358" s="1875"/>
      <c r="F358" s="1875"/>
      <c r="G358" s="1875"/>
      <c r="H358" s="1875"/>
      <c r="I358" s="1875"/>
      <c r="J358" s="1875"/>
      <c r="K358" s="1875"/>
      <c r="L358" s="1876"/>
    </row>
    <row r="359" spans="2:12" ht="12.75" customHeight="1">
      <c r="B359" s="1815"/>
      <c r="C359" s="1875"/>
      <c r="D359" s="1875"/>
      <c r="E359" s="1875"/>
      <c r="F359" s="1875"/>
      <c r="G359" s="1875"/>
      <c r="H359" s="1875"/>
      <c r="I359" s="1875"/>
      <c r="J359" s="1875"/>
      <c r="K359" s="1875"/>
      <c r="L359" s="1876"/>
    </row>
    <row r="360" spans="2:12" ht="12.75" customHeight="1">
      <c r="B360" s="1815"/>
      <c r="C360" s="1875"/>
      <c r="D360" s="1875"/>
      <c r="E360" s="1875"/>
      <c r="F360" s="1875"/>
      <c r="G360" s="1875"/>
      <c r="H360" s="1875"/>
      <c r="I360" s="1875"/>
      <c r="J360" s="1875"/>
      <c r="K360" s="1875"/>
      <c r="L360" s="1876"/>
    </row>
    <row r="361" spans="2:12" ht="12.75" customHeight="1">
      <c r="B361" s="1815"/>
      <c r="C361" s="1875"/>
      <c r="D361" s="1875"/>
      <c r="E361" s="1875"/>
      <c r="F361" s="1875"/>
      <c r="G361" s="1875"/>
      <c r="H361" s="1875"/>
      <c r="I361" s="1875"/>
      <c r="J361" s="1875"/>
      <c r="K361" s="1875"/>
      <c r="L361" s="1876"/>
    </row>
    <row r="362" spans="2:12" ht="12.75" customHeight="1">
      <c r="B362" s="1815"/>
      <c r="C362" s="1875"/>
      <c r="D362" s="1875"/>
      <c r="E362" s="1875"/>
      <c r="F362" s="1875"/>
      <c r="G362" s="1875"/>
      <c r="H362" s="1875"/>
      <c r="I362" s="1875"/>
      <c r="J362" s="1875"/>
      <c r="K362" s="1875"/>
      <c r="L362" s="1876"/>
    </row>
    <row r="363" spans="2:12" ht="12.75" customHeight="1">
      <c r="B363" s="1815"/>
      <c r="C363" s="1875"/>
      <c r="D363" s="1875"/>
      <c r="E363" s="1875"/>
      <c r="F363" s="1875"/>
      <c r="G363" s="1875"/>
      <c r="H363" s="1875"/>
      <c r="I363" s="1875"/>
      <c r="J363" s="1875"/>
      <c r="K363" s="1875"/>
      <c r="L363" s="1876"/>
    </row>
    <row r="364" spans="2:12" ht="12.75" customHeight="1">
      <c r="B364" s="1815"/>
      <c r="C364" s="1875"/>
      <c r="D364" s="1875"/>
      <c r="E364" s="1875"/>
      <c r="F364" s="1875"/>
      <c r="G364" s="1875"/>
      <c r="H364" s="1875"/>
      <c r="I364" s="1875"/>
      <c r="J364" s="1875"/>
      <c r="K364" s="1875"/>
      <c r="L364" s="1876"/>
    </row>
    <row r="365" spans="2:12" ht="12.75" customHeight="1">
      <c r="B365" s="1815"/>
      <c r="C365" s="1875"/>
      <c r="D365" s="1875"/>
      <c r="E365" s="1875"/>
      <c r="F365" s="1875"/>
      <c r="G365" s="1875"/>
      <c r="H365" s="1875"/>
      <c r="I365" s="1875"/>
      <c r="J365" s="1875"/>
      <c r="K365" s="1875"/>
      <c r="L365" s="1876"/>
    </row>
    <row r="366" spans="2:12" ht="12.75" customHeight="1">
      <c r="B366" s="1815"/>
      <c r="C366" s="1875"/>
      <c r="D366" s="1875"/>
      <c r="E366" s="1875"/>
      <c r="F366" s="1875"/>
      <c r="G366" s="1875"/>
      <c r="H366" s="1875"/>
      <c r="I366" s="1875"/>
      <c r="J366" s="1875"/>
      <c r="K366" s="1875"/>
      <c r="L366" s="1876"/>
    </row>
    <row r="367" spans="2:12" ht="12.75" customHeight="1">
      <c r="B367" s="1815"/>
      <c r="C367" s="1875"/>
      <c r="D367" s="1875"/>
      <c r="E367" s="1875"/>
      <c r="F367" s="1875"/>
      <c r="G367" s="1875"/>
      <c r="H367" s="1875"/>
      <c r="I367" s="1875"/>
      <c r="J367" s="1875"/>
      <c r="K367" s="1875"/>
      <c r="L367" s="1876"/>
    </row>
    <row r="368" spans="2:12" ht="12.75" customHeight="1">
      <c r="B368" s="1815"/>
      <c r="C368" s="1875"/>
      <c r="D368" s="1875"/>
      <c r="E368" s="1875"/>
      <c r="F368" s="1875"/>
      <c r="G368" s="1875"/>
      <c r="H368" s="1875"/>
      <c r="I368" s="1875"/>
      <c r="J368" s="1875"/>
      <c r="K368" s="1875"/>
      <c r="L368" s="1876"/>
    </row>
    <row r="369" spans="2:12" ht="12.75" customHeight="1">
      <c r="B369" s="1815"/>
      <c r="C369" s="1875"/>
      <c r="D369" s="1875"/>
      <c r="E369" s="1875"/>
      <c r="F369" s="1875"/>
      <c r="G369" s="1875"/>
      <c r="H369" s="1875"/>
      <c r="I369" s="1875"/>
      <c r="J369" s="1875"/>
      <c r="K369" s="1875"/>
      <c r="L369" s="1876"/>
    </row>
    <row r="370" spans="2:12" ht="12.75" customHeight="1">
      <c r="B370" s="1815"/>
      <c r="C370" s="1875"/>
      <c r="D370" s="1875"/>
      <c r="E370" s="1875"/>
      <c r="F370" s="1875"/>
      <c r="G370" s="1875"/>
      <c r="H370" s="1875"/>
      <c r="I370" s="1875"/>
      <c r="J370" s="1875"/>
      <c r="K370" s="1875"/>
      <c r="L370" s="1876"/>
    </row>
    <row r="371" spans="2:12" ht="12.75" customHeight="1">
      <c r="B371" s="1815"/>
      <c r="C371" s="1875"/>
      <c r="D371" s="1875"/>
      <c r="E371" s="1875"/>
      <c r="F371" s="1875"/>
      <c r="G371" s="1875"/>
      <c r="H371" s="1875"/>
      <c r="I371" s="1875"/>
      <c r="J371" s="1875"/>
      <c r="K371" s="1875"/>
      <c r="L371" s="1876"/>
    </row>
    <row r="372" spans="2:12" ht="12.75" customHeight="1">
      <c r="B372" s="1815"/>
      <c r="C372" s="1875"/>
      <c r="D372" s="1875"/>
      <c r="E372" s="1875"/>
      <c r="F372" s="1875"/>
      <c r="G372" s="1875"/>
      <c r="H372" s="1875"/>
      <c r="I372" s="1875"/>
      <c r="J372" s="1875"/>
      <c r="K372" s="1875"/>
      <c r="L372" s="1876"/>
    </row>
    <row r="373" spans="2:12" ht="12.75" customHeight="1">
      <c r="B373" s="1815"/>
      <c r="C373" s="1875"/>
      <c r="D373" s="1875"/>
      <c r="E373" s="1875"/>
      <c r="F373" s="1875"/>
      <c r="G373" s="1875"/>
      <c r="H373" s="1875"/>
      <c r="I373" s="1875"/>
      <c r="J373" s="1875"/>
      <c r="K373" s="1875"/>
      <c r="L373" s="1876"/>
    </row>
    <row r="374" spans="2:12" ht="12.75" customHeight="1">
      <c r="B374" s="1815"/>
      <c r="C374" s="1875"/>
      <c r="D374" s="1875"/>
      <c r="E374" s="1875"/>
      <c r="F374" s="1875"/>
      <c r="G374" s="1875"/>
      <c r="H374" s="1875"/>
      <c r="I374" s="1875"/>
      <c r="J374" s="1875"/>
      <c r="K374" s="1875"/>
      <c r="L374" s="1876"/>
    </row>
    <row r="375" spans="2:12" ht="12.75" customHeight="1">
      <c r="B375" s="1815"/>
      <c r="C375" s="1875"/>
      <c r="D375" s="1875"/>
      <c r="E375" s="1875"/>
      <c r="F375" s="1875"/>
      <c r="G375" s="1875"/>
      <c r="H375" s="1875"/>
      <c r="I375" s="1875"/>
      <c r="J375" s="1875"/>
      <c r="K375" s="1875"/>
      <c r="L375" s="1876"/>
    </row>
    <row r="376" spans="2:12" ht="12.75" customHeight="1">
      <c r="B376" s="1815"/>
      <c r="C376" s="1875"/>
      <c r="D376" s="1875"/>
      <c r="E376" s="1875"/>
      <c r="F376" s="1875"/>
      <c r="G376" s="1875"/>
      <c r="H376" s="1875"/>
      <c r="I376" s="1875"/>
      <c r="J376" s="1875"/>
      <c r="K376" s="1875"/>
      <c r="L376" s="1876"/>
    </row>
    <row r="377" spans="2:12" ht="12.75" customHeight="1">
      <c r="B377" s="1815"/>
      <c r="C377" s="1875"/>
      <c r="D377" s="1875"/>
      <c r="E377" s="1875"/>
      <c r="F377" s="1875"/>
      <c r="G377" s="1875"/>
      <c r="H377" s="1875"/>
      <c r="I377" s="1875"/>
      <c r="J377" s="1875"/>
      <c r="K377" s="1875"/>
      <c r="L377" s="1876"/>
    </row>
    <row r="378" spans="2:12" ht="12.75" customHeight="1">
      <c r="B378" s="1815"/>
      <c r="C378" s="1875"/>
      <c r="D378" s="1875"/>
      <c r="E378" s="1875"/>
      <c r="F378" s="1875"/>
      <c r="G378" s="1875"/>
      <c r="H378" s="1875"/>
      <c r="I378" s="1875"/>
      <c r="J378" s="1875"/>
      <c r="K378" s="1875"/>
      <c r="L378" s="1876"/>
    </row>
    <row r="379" spans="2:12" ht="12.75" customHeight="1">
      <c r="B379" s="1815"/>
      <c r="C379" s="1875"/>
      <c r="D379" s="1875"/>
      <c r="E379" s="1875"/>
      <c r="F379" s="1875"/>
      <c r="G379" s="1875"/>
      <c r="H379" s="1875"/>
      <c r="I379" s="1875"/>
      <c r="J379" s="1875"/>
      <c r="K379" s="1875"/>
      <c r="L379" s="1876"/>
    </row>
    <row r="380" spans="2:12" ht="12.75" customHeight="1">
      <c r="B380" s="1815"/>
      <c r="C380" s="1875"/>
      <c r="D380" s="1875"/>
      <c r="E380" s="1875"/>
      <c r="F380" s="1875"/>
      <c r="G380" s="1875"/>
      <c r="H380" s="1875"/>
      <c r="I380" s="1875"/>
      <c r="J380" s="1875"/>
      <c r="K380" s="1875"/>
      <c r="L380" s="1876"/>
    </row>
    <row r="381" spans="2:12" ht="12.75" customHeight="1">
      <c r="B381" s="1815"/>
      <c r="C381" s="1875"/>
      <c r="D381" s="1875"/>
      <c r="E381" s="1875"/>
      <c r="F381" s="1875"/>
      <c r="G381" s="1875"/>
      <c r="H381" s="1875"/>
      <c r="I381" s="1875"/>
      <c r="J381" s="1875"/>
      <c r="K381" s="1875"/>
      <c r="L381" s="1876"/>
    </row>
    <row r="382" spans="2:12" ht="12.75" customHeight="1">
      <c r="B382" s="1815"/>
      <c r="C382" s="1875"/>
      <c r="D382" s="1875"/>
      <c r="E382" s="1875"/>
      <c r="F382" s="1875"/>
      <c r="G382" s="1875"/>
      <c r="H382" s="1875"/>
      <c r="I382" s="1875"/>
      <c r="J382" s="1875"/>
      <c r="K382" s="1875"/>
      <c r="L382" s="1876"/>
    </row>
    <row r="383" spans="2:12" ht="12.75" customHeight="1">
      <c r="B383" s="1815"/>
      <c r="C383" s="1875"/>
      <c r="D383" s="1875"/>
      <c r="E383" s="1875"/>
      <c r="F383" s="1875"/>
      <c r="G383" s="1875"/>
      <c r="H383" s="1875"/>
      <c r="I383" s="1875"/>
      <c r="J383" s="1875"/>
      <c r="K383" s="1875"/>
      <c r="L383" s="1876"/>
    </row>
    <row r="384" spans="2:12" ht="12.75" customHeight="1">
      <c r="B384" s="1815"/>
      <c r="C384" s="1875"/>
      <c r="D384" s="1875"/>
      <c r="E384" s="1875"/>
      <c r="F384" s="1875"/>
      <c r="G384" s="1875"/>
      <c r="H384" s="1875"/>
      <c r="I384" s="1875"/>
      <c r="J384" s="1875"/>
      <c r="K384" s="1875"/>
      <c r="L384" s="1876"/>
    </row>
    <row r="385" spans="1:12" ht="12.75" customHeight="1">
      <c r="B385" s="1815"/>
      <c r="C385" s="1875"/>
      <c r="D385" s="1875"/>
      <c r="E385" s="1875"/>
      <c r="F385" s="1875"/>
      <c r="G385" s="1875"/>
      <c r="H385" s="1875"/>
      <c r="I385" s="1875"/>
      <c r="J385" s="1875"/>
      <c r="K385" s="1875"/>
      <c r="L385" s="1876"/>
    </row>
    <row r="386" spans="1:12" ht="12.75" customHeight="1">
      <c r="B386" s="1815"/>
      <c r="C386" s="1875"/>
      <c r="D386" s="1875"/>
      <c r="E386" s="1875"/>
      <c r="F386" s="1875"/>
      <c r="G386" s="1875"/>
      <c r="H386" s="1875"/>
      <c r="I386" s="1875"/>
      <c r="J386" s="1875"/>
      <c r="K386" s="1875"/>
      <c r="L386" s="1876"/>
    </row>
    <row r="387" spans="1:12" ht="12.75" customHeight="1">
      <c r="B387" s="1815"/>
      <c r="C387" s="1875"/>
      <c r="D387" s="1875"/>
      <c r="E387" s="1875"/>
      <c r="F387" s="1875"/>
      <c r="G387" s="1875"/>
      <c r="H387" s="1875"/>
      <c r="I387" s="1875"/>
      <c r="J387" s="1875"/>
      <c r="K387" s="1875"/>
      <c r="L387" s="1876"/>
    </row>
    <row r="388" spans="1:12" ht="12.75" customHeight="1">
      <c r="B388" s="1815"/>
      <c r="C388" s="1875"/>
      <c r="D388" s="1875"/>
      <c r="E388" s="1875"/>
      <c r="F388" s="1875"/>
      <c r="G388" s="1875"/>
      <c r="H388" s="1875"/>
      <c r="I388" s="1875"/>
      <c r="J388" s="1875"/>
      <c r="K388" s="1875"/>
      <c r="L388" s="1876"/>
    </row>
    <row r="389" spans="1:12" ht="12.75" customHeight="1">
      <c r="B389" s="1815"/>
      <c r="C389" s="1875"/>
      <c r="D389" s="1875"/>
      <c r="E389" s="1875"/>
      <c r="F389" s="1875"/>
      <c r="G389" s="1875"/>
      <c r="H389" s="1875"/>
      <c r="I389" s="1875"/>
      <c r="J389" s="1875"/>
      <c r="K389" s="1875"/>
      <c r="L389" s="1876"/>
    </row>
    <row r="390" spans="1:12" ht="12.75" customHeight="1">
      <c r="B390" s="1815"/>
      <c r="C390" s="1875"/>
      <c r="D390" s="1875"/>
      <c r="E390" s="1875"/>
      <c r="F390" s="1875"/>
      <c r="G390" s="1875"/>
      <c r="H390" s="1875"/>
      <c r="I390" s="1875"/>
      <c r="J390" s="1875"/>
      <c r="K390" s="1875"/>
      <c r="L390" s="1876"/>
    </row>
    <row r="391" spans="1:12" ht="12.75" customHeight="1">
      <c r="B391" s="1815"/>
      <c r="C391" s="1875"/>
      <c r="D391" s="1875"/>
      <c r="E391" s="1875"/>
      <c r="F391" s="1875"/>
      <c r="G391" s="1875"/>
      <c r="H391" s="1875"/>
      <c r="I391" s="1875"/>
      <c r="J391" s="1875"/>
      <c r="K391" s="1875"/>
      <c r="L391" s="1876"/>
    </row>
    <row r="392" spans="1:12" ht="12.75" customHeight="1" thickBot="1">
      <c r="B392" s="1877"/>
      <c r="C392" s="1878"/>
      <c r="D392" s="1878"/>
      <c r="E392" s="1878"/>
      <c r="F392" s="1878"/>
      <c r="G392" s="1878"/>
      <c r="H392" s="1878"/>
      <c r="I392" s="1878"/>
      <c r="J392" s="1878"/>
      <c r="K392" s="1878"/>
      <c r="L392" s="1879"/>
    </row>
    <row r="393" spans="1:12" ht="13" thickBot="1">
      <c r="B393" s="1668" t="s">
        <v>417</v>
      </c>
      <c r="C393" s="1668"/>
      <c r="D393" s="342"/>
      <c r="E393" s="342"/>
      <c r="F393" s="342"/>
      <c r="G393" s="343" t="s">
        <v>432</v>
      </c>
      <c r="H393" s="1662" t="str">
        <f>H64</f>
        <v xml:space="preserve"> Sistema ByDesigner Desenvolvido Neri (21) 97014-2420</v>
      </c>
      <c r="I393" s="1662"/>
      <c r="J393" s="1662"/>
      <c r="K393" s="1662"/>
      <c r="L393" s="1662"/>
    </row>
    <row r="394" spans="1:12" ht="13">
      <c r="B394" s="1397" t="s">
        <v>124</v>
      </c>
      <c r="C394" s="1398"/>
      <c r="D394" s="1399"/>
      <c r="E394" s="1400" t="str">
        <f>'1FComprador'!E3:J3</f>
        <v>Razão Social da Loja</v>
      </c>
      <c r="F394" s="1401"/>
      <c r="G394" s="1401"/>
      <c r="H394" s="1401"/>
      <c r="I394" s="1401"/>
      <c r="J394" s="1402"/>
      <c r="K394" s="1816"/>
      <c r="L394" s="1399"/>
    </row>
    <row r="395" spans="1:12" ht="13">
      <c r="B395" s="1403" t="s">
        <v>125</v>
      </c>
      <c r="C395" s="1404"/>
      <c r="D395" s="1405"/>
      <c r="E395" s="1414" t="str">
        <f>'1FComprador'!E4:J4</f>
        <v>Nome Fantasia Loja</v>
      </c>
      <c r="F395" s="1415"/>
      <c r="G395" s="1415"/>
      <c r="H395" s="1415"/>
      <c r="I395" s="1415"/>
      <c r="J395" s="1416"/>
      <c r="K395" s="1412" t="s">
        <v>126</v>
      </c>
      <c r="L395" s="1413"/>
    </row>
    <row r="396" spans="1:12">
      <c r="A396" s="117"/>
      <c r="B396" s="1403" t="s">
        <v>426</v>
      </c>
      <c r="C396" s="1404"/>
      <c r="D396" s="1405"/>
      <c r="E396" s="1410" t="str">
        <f>'1FComprador'!E5:G5</f>
        <v>CNPJ da Loja</v>
      </c>
      <c r="F396" s="1411"/>
      <c r="G396" s="1411"/>
      <c r="H396" s="1417" t="str">
        <f>'1FComprador'!H5</f>
        <v>Inscrição da loja</v>
      </c>
      <c r="I396" s="1417"/>
      <c r="J396" s="1418"/>
      <c r="K396" s="1868" t="str">
        <f>'1FComprador'!K5:L5</f>
        <v>DG-0625-01</v>
      </c>
      <c r="L396" s="1665"/>
    </row>
    <row r="397" spans="1:12" ht="13">
      <c r="B397" s="1403" t="s">
        <v>128</v>
      </c>
      <c r="C397" s="1404"/>
      <c r="D397" s="1405"/>
      <c r="E397" s="1414" t="str">
        <f>'1FComprador'!E6:J6</f>
        <v>Endereço da Loja</v>
      </c>
      <c r="F397" s="1415"/>
      <c r="G397" s="1415"/>
      <c r="H397" s="1415"/>
      <c r="I397" s="1415"/>
      <c r="J397" s="1416"/>
      <c r="K397" s="1406" t="s">
        <v>129</v>
      </c>
      <c r="L397" s="1407"/>
    </row>
    <row r="398" spans="1:12">
      <c r="B398" s="1421" t="s">
        <v>130</v>
      </c>
      <c r="C398" s="1404"/>
      <c r="D398" s="1404"/>
      <c r="E398" s="1421" t="s">
        <v>423</v>
      </c>
      <c r="F398" s="1422"/>
      <c r="G398" s="1422"/>
      <c r="H398" s="1422" t="s">
        <v>419</v>
      </c>
      <c r="I398" s="1422"/>
      <c r="J398" s="1423"/>
      <c r="K398" s="1821">
        <f ca="1">K69</f>
        <v>46153</v>
      </c>
      <c r="L398" s="1822"/>
    </row>
    <row r="399" spans="1:12" ht="14">
      <c r="B399" s="1403" t="s">
        <v>131</v>
      </c>
      <c r="C399" s="1404"/>
      <c r="D399" s="1405"/>
      <c r="E399" s="1797" t="str">
        <f>'1FComprador'!E8:J8</f>
        <v>E-mail da Loja</v>
      </c>
      <c r="F399" s="1798"/>
      <c r="G399" s="1798"/>
      <c r="H399" s="1798"/>
      <c r="I399" s="1798"/>
      <c r="J399" s="1769"/>
      <c r="K399" s="292" t="s">
        <v>18</v>
      </c>
      <c r="L399" s="291">
        <f>'1FComprador'!$L$8</f>
        <v>1</v>
      </c>
    </row>
    <row r="400" spans="1:12" ht="13" thickBot="1">
      <c r="B400" s="1375" t="str">
        <f>'1FComprador'!B9:D9</f>
        <v>Vendedor 1</v>
      </c>
      <c r="C400" s="1376"/>
      <c r="D400" s="1377"/>
      <c r="E400" s="1375" t="str">
        <f>'1FComprador'!E9:J9</f>
        <v>Vendedor(a) Projetista : Vendedor 1</v>
      </c>
      <c r="F400" s="1376"/>
      <c r="G400" s="1376"/>
      <c r="H400" s="1376"/>
      <c r="I400" s="1376"/>
      <c r="J400" s="1377"/>
      <c r="K400" s="1753" t="str">
        <f>'1FComprador'!$K$9</f>
        <v>Local da loja</v>
      </c>
      <c r="L400" s="1409"/>
    </row>
    <row r="401" spans="1:12">
      <c r="B401" s="1882"/>
      <c r="C401" s="1801"/>
      <c r="D401" s="1801"/>
      <c r="E401" s="1801"/>
      <c r="F401" s="1801"/>
      <c r="G401" s="1801"/>
      <c r="H401" s="1801"/>
      <c r="I401" s="1801"/>
      <c r="J401" s="1801"/>
      <c r="K401" s="1801"/>
      <c r="L401" s="1802"/>
    </row>
    <row r="402" spans="1:12" ht="12.75" customHeight="1">
      <c r="B402" s="1803" t="s">
        <v>433</v>
      </c>
      <c r="C402" s="1873"/>
      <c r="D402" s="1873"/>
      <c r="E402" s="1873"/>
      <c r="F402" s="1873"/>
      <c r="G402" s="1873"/>
      <c r="H402" s="1873"/>
      <c r="I402" s="1873"/>
      <c r="J402" s="1873"/>
      <c r="K402" s="1873"/>
      <c r="L402" s="1874"/>
    </row>
    <row r="403" spans="1:12" ht="12.75" customHeight="1">
      <c r="B403" s="1815"/>
      <c r="C403" s="1875"/>
      <c r="D403" s="1875"/>
      <c r="E403" s="1875"/>
      <c r="F403" s="1875"/>
      <c r="G403" s="1875"/>
      <c r="H403" s="1875"/>
      <c r="I403" s="1875"/>
      <c r="J403" s="1875"/>
      <c r="K403" s="1875"/>
      <c r="L403" s="1876"/>
    </row>
    <row r="404" spans="1:12" ht="12.75" customHeight="1">
      <c r="B404" s="1815"/>
      <c r="C404" s="1875"/>
      <c r="D404" s="1875"/>
      <c r="E404" s="1875"/>
      <c r="F404" s="1875"/>
      <c r="G404" s="1875"/>
      <c r="H404" s="1875"/>
      <c r="I404" s="1875"/>
      <c r="J404" s="1875"/>
      <c r="K404" s="1875"/>
      <c r="L404" s="1876"/>
    </row>
    <row r="405" spans="1:12" ht="12.75" customHeight="1">
      <c r="B405" s="1815"/>
      <c r="C405" s="1875"/>
      <c r="D405" s="1875"/>
      <c r="E405" s="1875"/>
      <c r="F405" s="1875"/>
      <c r="G405" s="1875"/>
      <c r="H405" s="1875"/>
      <c r="I405" s="1875"/>
      <c r="J405" s="1875"/>
      <c r="K405" s="1875"/>
      <c r="L405" s="1876"/>
    </row>
    <row r="406" spans="1:12" ht="12.75" customHeight="1">
      <c r="B406" s="1815"/>
      <c r="C406" s="1875"/>
      <c r="D406" s="1875"/>
      <c r="E406" s="1875"/>
      <c r="F406" s="1875"/>
      <c r="G406" s="1875"/>
      <c r="H406" s="1875"/>
      <c r="I406" s="1875"/>
      <c r="J406" s="1875"/>
      <c r="K406" s="1875"/>
      <c r="L406" s="1876"/>
    </row>
    <row r="407" spans="1:12" ht="12.75" customHeight="1">
      <c r="B407" s="1815"/>
      <c r="C407" s="1875"/>
      <c r="D407" s="1875"/>
      <c r="E407" s="1875"/>
      <c r="F407" s="1875"/>
      <c r="G407" s="1875"/>
      <c r="H407" s="1875"/>
      <c r="I407" s="1875"/>
      <c r="J407" s="1875"/>
      <c r="K407" s="1875"/>
      <c r="L407" s="1876"/>
    </row>
    <row r="408" spans="1:12" ht="12.75" customHeight="1">
      <c r="B408" s="1815"/>
      <c r="C408" s="1875"/>
      <c r="D408" s="1875"/>
      <c r="E408" s="1875"/>
      <c r="F408" s="1875"/>
      <c r="G408" s="1875"/>
      <c r="H408" s="1875"/>
      <c r="I408" s="1875"/>
      <c r="J408" s="1875"/>
      <c r="K408" s="1875"/>
      <c r="L408" s="1876"/>
    </row>
    <row r="409" spans="1:12" ht="12.75" customHeight="1">
      <c r="B409" s="1815"/>
      <c r="C409" s="1875"/>
      <c r="D409" s="1875"/>
      <c r="E409" s="1875"/>
      <c r="F409" s="1875"/>
      <c r="G409" s="1875"/>
      <c r="H409" s="1875"/>
      <c r="I409" s="1875"/>
      <c r="J409" s="1875"/>
      <c r="K409" s="1875"/>
      <c r="L409" s="1876"/>
    </row>
    <row r="410" spans="1:12" ht="12.75" customHeight="1">
      <c r="B410" s="1815"/>
      <c r="C410" s="1875"/>
      <c r="D410" s="1875"/>
      <c r="E410" s="1875"/>
      <c r="F410" s="1875"/>
      <c r="G410" s="1875"/>
      <c r="H410" s="1875"/>
      <c r="I410" s="1875"/>
      <c r="J410" s="1875"/>
      <c r="K410" s="1875"/>
      <c r="L410" s="1876"/>
    </row>
    <row r="411" spans="1:12" ht="12.75" customHeight="1">
      <c r="B411" s="144"/>
      <c r="C411" s="348"/>
      <c r="D411" s="348"/>
      <c r="E411" s="348"/>
      <c r="F411" s="348"/>
      <c r="G411" s="348"/>
      <c r="H411" s="348"/>
      <c r="I411" s="348"/>
      <c r="J411" s="348"/>
      <c r="K411" s="348"/>
      <c r="L411" s="145"/>
    </row>
    <row r="412" spans="1:12" ht="12.75" customHeight="1">
      <c r="B412" s="144"/>
      <c r="C412" s="348"/>
      <c r="D412" s="348"/>
      <c r="E412" s="348"/>
      <c r="F412" s="348"/>
      <c r="G412" s="348"/>
      <c r="H412" s="348"/>
      <c r="I412" s="348"/>
      <c r="J412" s="348"/>
      <c r="K412" s="348"/>
      <c r="L412" s="145"/>
    </row>
    <row r="413" spans="1:12" ht="15.75" customHeight="1">
      <c r="A413" s="117"/>
      <c r="B413" s="144"/>
      <c r="C413" s="348"/>
      <c r="D413" s="348"/>
      <c r="E413" s="348"/>
      <c r="F413" s="348"/>
      <c r="G413" s="348"/>
      <c r="H413" s="348"/>
      <c r="I413" s="1880" t="str">
        <f ca="1">'0F Lj'!D18&amp;", "&amp;TEXT($K$7,"dd")&amp;" de "&amp;TEXT($K$7,"mmmm")&amp;" de "&amp;TEXT($K$7,"AAAA")&amp;". "</f>
        <v xml:space="preserve">Cidade da Loja, 11 de maio de 2026. </v>
      </c>
      <c r="J413" s="1880"/>
      <c r="K413" s="1880"/>
      <c r="L413" s="1881"/>
    </row>
    <row r="414" spans="1:12" ht="12.75" customHeight="1">
      <c r="B414" s="144"/>
      <c r="C414" s="348"/>
      <c r="D414" s="348"/>
      <c r="E414" s="348"/>
      <c r="F414" s="348"/>
      <c r="G414" s="348"/>
      <c r="H414" s="348"/>
      <c r="I414" s="348"/>
      <c r="J414" s="348"/>
      <c r="K414" s="348"/>
      <c r="L414" s="145"/>
    </row>
    <row r="415" spans="1:12" ht="12.75" customHeight="1">
      <c r="B415" s="144"/>
      <c r="C415" s="348"/>
      <c r="D415" s="348"/>
      <c r="E415" s="348"/>
      <c r="F415" s="348"/>
      <c r="G415" s="348"/>
      <c r="H415" s="348"/>
      <c r="I415" s="348"/>
      <c r="J415" s="348"/>
      <c r="K415" s="348"/>
      <c r="L415" s="145"/>
    </row>
    <row r="416" spans="1:12" ht="12.75" customHeight="1">
      <c r="B416" s="144"/>
      <c r="C416" s="348"/>
      <c r="D416" s="348"/>
      <c r="E416" s="348"/>
      <c r="F416" s="348"/>
      <c r="G416" s="348"/>
      <c r="H416" s="348"/>
      <c r="I416" s="348"/>
      <c r="J416" s="348"/>
      <c r="K416" s="348"/>
      <c r="L416" s="145"/>
    </row>
    <row r="417" spans="2:12" ht="12.75" customHeight="1" thickBot="1">
      <c r="B417" s="144"/>
      <c r="C417" s="348"/>
      <c r="D417" s="349"/>
      <c r="E417" s="308"/>
      <c r="F417" s="308"/>
      <c r="G417" s="308"/>
      <c r="H417" s="308"/>
      <c r="I417" s="348"/>
      <c r="J417" s="348"/>
      <c r="K417" s="348"/>
      <c r="L417" s="145"/>
    </row>
    <row r="418" spans="2:12" ht="12.75" customHeight="1">
      <c r="B418" s="144"/>
      <c r="C418" s="348"/>
      <c r="D418" s="1422" t="s">
        <v>414</v>
      </c>
      <c r="E418" s="1422"/>
      <c r="F418" s="1422"/>
      <c r="G418" s="1422"/>
      <c r="H418" s="1422"/>
      <c r="I418" s="348"/>
      <c r="J418" s="348"/>
      <c r="K418" s="348"/>
      <c r="L418" s="145"/>
    </row>
    <row r="419" spans="2:12" ht="12.75" customHeight="1">
      <c r="B419" s="144"/>
      <c r="C419" s="348"/>
      <c r="D419" s="1766" t="str">
        <f>'1FComprador'!$E$4</f>
        <v>Nome Fantasia Loja</v>
      </c>
      <c r="E419" s="1766"/>
      <c r="F419" s="1766"/>
      <c r="G419" s="1766"/>
      <c r="H419" s="1766"/>
      <c r="I419" s="348"/>
      <c r="J419" s="348"/>
      <c r="K419" s="348"/>
      <c r="L419" s="145"/>
    </row>
    <row r="420" spans="2:12" ht="12.75" customHeight="1">
      <c r="B420" s="144"/>
      <c r="C420" s="348"/>
      <c r="D420" s="350"/>
      <c r="E420" s="1411" t="str">
        <f>$E$5</f>
        <v>CNPJ da Loja</v>
      </c>
      <c r="F420" s="1411"/>
      <c r="G420" s="1411"/>
      <c r="H420" s="117"/>
      <c r="I420" s="348"/>
      <c r="J420" s="348"/>
      <c r="K420" s="348"/>
      <c r="L420" s="145"/>
    </row>
    <row r="421" spans="2:12" ht="12.75" customHeight="1">
      <c r="B421" s="144"/>
      <c r="C421" s="348"/>
      <c r="I421" s="348"/>
      <c r="J421" s="348"/>
      <c r="K421" s="348"/>
      <c r="L421" s="145"/>
    </row>
    <row r="422" spans="2:12" ht="12.75" customHeight="1">
      <c r="B422" s="144"/>
      <c r="C422" s="348"/>
      <c r="I422" s="348"/>
      <c r="J422" s="348"/>
      <c r="K422" s="348"/>
      <c r="L422" s="145"/>
    </row>
    <row r="423" spans="2:12" ht="12.75" customHeight="1">
      <c r="B423" s="144"/>
      <c r="C423" s="348"/>
      <c r="I423" s="348"/>
      <c r="J423" s="348"/>
      <c r="K423" s="348"/>
      <c r="L423" s="145"/>
    </row>
    <row r="424" spans="2:12" ht="12.75" customHeight="1" thickBot="1">
      <c r="B424" s="144"/>
      <c r="C424" s="348"/>
      <c r="I424" s="348"/>
      <c r="J424" s="348"/>
      <c r="K424" s="348"/>
      <c r="L424" s="145"/>
    </row>
    <row r="425" spans="2:12" ht="12.75" customHeight="1">
      <c r="B425" s="144"/>
      <c r="C425" s="348"/>
      <c r="D425" s="1869" t="s">
        <v>434</v>
      </c>
      <c r="E425" s="1869"/>
      <c r="F425" s="1869"/>
      <c r="G425" s="1869"/>
      <c r="H425" s="1869"/>
      <c r="I425" s="348"/>
      <c r="J425" s="348"/>
      <c r="K425" s="348"/>
      <c r="L425" s="145"/>
    </row>
    <row r="426" spans="2:12" ht="12.75" customHeight="1">
      <c r="B426" s="144"/>
      <c r="C426" s="348"/>
      <c r="D426" s="1422" t="str">
        <f>IF('1FComprador'!D12&lt;&gt;"",'1FComprador'!D12,"")</f>
        <v/>
      </c>
      <c r="E426" s="1404"/>
      <c r="F426" s="1404"/>
      <c r="G426" s="1404"/>
      <c r="H426" s="1404"/>
      <c r="I426" s="348"/>
      <c r="J426" s="348"/>
      <c r="K426" s="348"/>
      <c r="L426" s="145"/>
    </row>
    <row r="427" spans="2:12" ht="12.75" customHeight="1">
      <c r="B427" s="144"/>
      <c r="C427" s="348"/>
      <c r="D427" s="343"/>
      <c r="E427" s="117" t="str">
        <f>'1FComprador'!J12</f>
        <v>CNPJ/CPF:</v>
      </c>
      <c r="F427" s="1883">
        <f>'1FComprador'!K12</f>
        <v>0</v>
      </c>
      <c r="G427" s="1883"/>
      <c r="H427" s="117"/>
      <c r="I427" s="348"/>
      <c r="J427" s="348"/>
      <c r="K427" s="348"/>
      <c r="L427" s="145"/>
    </row>
    <row r="428" spans="2:12" ht="12.75" customHeight="1">
      <c r="B428" s="144"/>
      <c r="C428" s="348"/>
      <c r="I428" s="348"/>
      <c r="J428" s="348"/>
      <c r="K428" s="348"/>
      <c r="L428" s="145"/>
    </row>
    <row r="429" spans="2:12" ht="12.75" customHeight="1">
      <c r="B429" s="144"/>
      <c r="C429" s="348"/>
      <c r="I429" s="348"/>
      <c r="J429" s="348"/>
      <c r="K429" s="348"/>
      <c r="L429" s="145"/>
    </row>
    <row r="430" spans="2:12" ht="12.75" customHeight="1">
      <c r="B430" s="144"/>
      <c r="C430" s="348"/>
      <c r="I430" s="348"/>
      <c r="J430" s="348"/>
      <c r="K430" s="348"/>
      <c r="L430" s="145"/>
    </row>
    <row r="431" spans="2:12" ht="12.75" customHeight="1" thickBot="1">
      <c r="B431" s="144"/>
      <c r="C431" s="348"/>
      <c r="I431" s="348"/>
      <c r="J431" s="348"/>
      <c r="K431" s="348"/>
      <c r="L431" s="145"/>
    </row>
    <row r="432" spans="2:12" ht="12.75" customHeight="1">
      <c r="B432" s="144"/>
      <c r="C432" s="348"/>
      <c r="D432" s="1869" t="s">
        <v>435</v>
      </c>
      <c r="E432" s="1869"/>
      <c r="F432" s="1869"/>
      <c r="G432" s="1869"/>
      <c r="H432" s="1869"/>
      <c r="I432" s="348"/>
      <c r="J432" s="348"/>
      <c r="K432" s="348"/>
      <c r="L432" s="145"/>
    </row>
    <row r="433" spans="2:12" ht="12.75" customHeight="1">
      <c r="B433" s="144"/>
      <c r="C433" s="348"/>
      <c r="D433" s="1884" t="str">
        <f>E400</f>
        <v>Vendedor(a) Projetista : Vendedor 1</v>
      </c>
      <c r="E433" s="1404"/>
      <c r="F433" s="1404"/>
      <c r="G433" s="1404"/>
      <c r="H433" s="1404"/>
      <c r="I433" s="348"/>
      <c r="J433" s="348"/>
      <c r="K433" s="348"/>
      <c r="L433" s="145"/>
    </row>
    <row r="434" spans="2:12" ht="12.75" customHeight="1">
      <c r="B434" s="144"/>
      <c r="C434" s="348"/>
      <c r="D434" s="343"/>
      <c r="E434" s="117" t="str">
        <f>'1FComprador'!J12</f>
        <v>CNPJ/CPF:</v>
      </c>
      <c r="F434" s="1883" t="str">
        <f>'3Orçto'!H2</f>
        <v>11.111.111-77</v>
      </c>
      <c r="G434" s="1883"/>
      <c r="H434" s="117"/>
      <c r="I434" s="348"/>
      <c r="J434" s="348"/>
      <c r="K434" s="348"/>
      <c r="L434" s="145"/>
    </row>
    <row r="435" spans="2:12" ht="12.75" customHeight="1">
      <c r="B435" s="144"/>
      <c r="C435" s="348"/>
      <c r="F435" s="1422"/>
      <c r="G435" s="1422"/>
      <c r="I435" s="348"/>
      <c r="J435" s="348"/>
      <c r="K435" s="348"/>
      <c r="L435" s="145"/>
    </row>
    <row r="436" spans="2:12" ht="12.75" customHeight="1">
      <c r="B436" s="144"/>
      <c r="C436" s="348"/>
      <c r="I436" s="348"/>
      <c r="J436" s="348"/>
      <c r="K436" s="348"/>
      <c r="L436" s="145"/>
    </row>
    <row r="437" spans="2:12" ht="12.75" customHeight="1">
      <c r="B437" s="144"/>
      <c r="C437" s="348"/>
      <c r="I437" s="348"/>
      <c r="J437" s="348"/>
      <c r="K437" s="348"/>
      <c r="L437" s="145"/>
    </row>
    <row r="438" spans="2:12" ht="12.75" customHeight="1">
      <c r="B438" s="144"/>
      <c r="C438" s="348"/>
      <c r="I438" s="348"/>
      <c r="J438" s="348"/>
      <c r="K438" s="348"/>
      <c r="L438" s="145"/>
    </row>
    <row r="439" spans="2:12" ht="12.75" customHeight="1" thickBot="1">
      <c r="B439" s="144"/>
      <c r="C439" s="348"/>
      <c r="I439" s="348"/>
      <c r="J439" s="348"/>
      <c r="K439" s="348"/>
      <c r="L439" s="145"/>
    </row>
    <row r="440" spans="2:12" ht="12.75" customHeight="1">
      <c r="B440" s="144"/>
      <c r="C440" s="348"/>
      <c r="D440" s="1869" t="s">
        <v>436</v>
      </c>
      <c r="E440" s="1869"/>
      <c r="F440" s="1869"/>
      <c r="G440" s="1869"/>
      <c r="H440" s="1869"/>
      <c r="I440" s="348"/>
      <c r="J440" s="348"/>
      <c r="K440" s="348"/>
      <c r="L440" s="145"/>
    </row>
    <row r="441" spans="2:12" ht="12.75" customHeight="1">
      <c r="B441" s="144"/>
      <c r="C441" s="348"/>
      <c r="D441" s="1422"/>
      <c r="E441" s="1404"/>
      <c r="F441" s="1404"/>
      <c r="G441" s="1404"/>
      <c r="H441" s="1404"/>
      <c r="I441" s="348"/>
      <c r="J441" s="348"/>
      <c r="K441" s="348"/>
      <c r="L441" s="145"/>
    </row>
    <row r="442" spans="2:12" ht="12.75" customHeight="1">
      <c r="B442" s="144"/>
      <c r="C442" s="348"/>
      <c r="D442" s="1422" t="s">
        <v>437</v>
      </c>
      <c r="E442" s="1404"/>
      <c r="F442" s="1404"/>
      <c r="G442" s="1404"/>
      <c r="H442" s="1404"/>
      <c r="I442" s="348"/>
      <c r="J442" s="348"/>
      <c r="K442" s="348"/>
      <c r="L442" s="145"/>
    </row>
    <row r="443" spans="2:12" ht="12.75" customHeight="1">
      <c r="B443" s="144"/>
      <c r="C443" s="348"/>
      <c r="D443" s="1422"/>
      <c r="E443" s="1404"/>
      <c r="F443" s="1404"/>
      <c r="G443" s="1404"/>
      <c r="H443" s="1404"/>
      <c r="I443" s="348"/>
      <c r="J443" s="348"/>
      <c r="K443" s="348"/>
      <c r="L443" s="145"/>
    </row>
    <row r="444" spans="2:12" ht="12.75" customHeight="1">
      <c r="B444" s="144"/>
      <c r="C444" s="348"/>
      <c r="D444" s="1422" t="s">
        <v>438</v>
      </c>
      <c r="E444" s="1404"/>
      <c r="F444" s="1404"/>
      <c r="G444" s="1404"/>
      <c r="H444" s="1404"/>
      <c r="I444" s="348"/>
      <c r="J444" s="348"/>
      <c r="K444" s="348"/>
      <c r="L444" s="145"/>
    </row>
    <row r="445" spans="2:12" ht="12.75" customHeight="1">
      <c r="B445" s="144"/>
      <c r="C445" s="348"/>
      <c r="D445" s="348"/>
      <c r="E445" s="348"/>
      <c r="F445" s="348"/>
      <c r="G445" s="348"/>
      <c r="H445" s="348"/>
      <c r="I445" s="348"/>
      <c r="J445" s="348"/>
      <c r="K445" s="348"/>
      <c r="L445" s="145"/>
    </row>
    <row r="446" spans="2:12" ht="12.75" customHeight="1">
      <c r="B446" s="144"/>
      <c r="C446" s="348"/>
      <c r="D446" s="348"/>
      <c r="E446" s="348"/>
      <c r="F446" s="348"/>
      <c r="G446" s="348"/>
      <c r="H446" s="348"/>
      <c r="I446" s="348"/>
      <c r="J446" s="348"/>
      <c r="K446" s="348"/>
      <c r="L446" s="145"/>
    </row>
    <row r="447" spans="2:12" ht="12.75" customHeight="1">
      <c r="B447" s="144"/>
      <c r="C447" s="348"/>
      <c r="D447" s="348"/>
      <c r="E447" s="348"/>
      <c r="F447" s="348"/>
      <c r="G447" s="348"/>
      <c r="H447" s="348"/>
      <c r="I447" s="348"/>
      <c r="J447" s="348"/>
      <c r="K447" s="348"/>
      <c r="L447" s="145"/>
    </row>
    <row r="448" spans="2:12" ht="12.75" customHeight="1">
      <c r="B448" s="144"/>
      <c r="C448" s="348"/>
      <c r="D448" s="348"/>
      <c r="E448" s="348"/>
      <c r="F448" s="348"/>
      <c r="G448" s="348"/>
      <c r="H448" s="348"/>
      <c r="I448" s="348"/>
      <c r="J448" s="348"/>
      <c r="K448" s="348"/>
      <c r="L448" s="145"/>
    </row>
    <row r="449" spans="2:12" ht="12.75" customHeight="1">
      <c r="B449" s="144"/>
      <c r="C449" s="348"/>
      <c r="D449" s="348"/>
      <c r="E449" s="348"/>
      <c r="F449" s="348"/>
      <c r="G449" s="348"/>
      <c r="H449" s="348"/>
      <c r="I449" s="348"/>
      <c r="J449" s="348"/>
      <c r="K449" s="348"/>
      <c r="L449" s="145"/>
    </row>
    <row r="450" spans="2:12" ht="12.75" customHeight="1">
      <c r="B450" s="144"/>
      <c r="C450" s="348"/>
      <c r="D450" s="348"/>
      <c r="E450" s="348"/>
      <c r="F450" s="348"/>
      <c r="G450" s="348"/>
      <c r="H450" s="348"/>
      <c r="I450" s="348"/>
      <c r="J450" s="348"/>
      <c r="K450" s="348"/>
      <c r="L450" s="145"/>
    </row>
    <row r="451" spans="2:12" ht="12.75" customHeight="1">
      <c r="B451" s="144"/>
      <c r="C451" s="348"/>
      <c r="D451" s="348"/>
      <c r="E451" s="348"/>
      <c r="F451" s="348"/>
      <c r="G451" s="348"/>
      <c r="H451" s="348"/>
      <c r="I451" s="348"/>
      <c r="J451" s="348"/>
      <c r="K451" s="348"/>
      <c r="L451" s="145"/>
    </row>
    <row r="452" spans="2:12" ht="12.75" customHeight="1">
      <c r="B452" s="144"/>
      <c r="C452" s="348"/>
      <c r="D452" s="348"/>
      <c r="E452" s="348"/>
      <c r="F452" s="348"/>
      <c r="G452" s="348"/>
      <c r="H452" s="348"/>
      <c r="I452" s="348"/>
      <c r="J452" s="348"/>
      <c r="K452" s="348"/>
      <c r="L452" s="145"/>
    </row>
    <row r="453" spans="2:12" ht="12.75" customHeight="1">
      <c r="B453" s="144"/>
      <c r="C453" s="348"/>
      <c r="D453" s="348"/>
      <c r="E453" s="348"/>
      <c r="F453" s="348"/>
      <c r="G453" s="348"/>
      <c r="H453" s="348"/>
      <c r="I453" s="348"/>
      <c r="J453" s="348"/>
      <c r="K453" s="348"/>
      <c r="L453" s="145"/>
    </row>
    <row r="454" spans="2:12" ht="12.75" customHeight="1">
      <c r="B454" s="144"/>
      <c r="C454" s="348"/>
      <c r="D454" s="348"/>
      <c r="E454" s="348"/>
      <c r="F454" s="348"/>
      <c r="G454" s="348"/>
      <c r="H454" s="348"/>
      <c r="I454" s="348"/>
      <c r="J454" s="348"/>
      <c r="K454" s="348"/>
      <c r="L454" s="145"/>
    </row>
    <row r="455" spans="2:12" ht="12.75" customHeight="1">
      <c r="B455" s="144"/>
      <c r="C455" s="348"/>
      <c r="D455" s="348"/>
      <c r="E455" s="348"/>
      <c r="F455" s="348"/>
      <c r="G455" s="348"/>
      <c r="H455" s="348"/>
      <c r="I455" s="348"/>
      <c r="J455" s="348"/>
      <c r="K455" s="348"/>
      <c r="L455" s="145"/>
    </row>
    <row r="456" spans="2:12" ht="12.75" customHeight="1">
      <c r="B456" s="144"/>
      <c r="C456" s="348"/>
      <c r="D456" s="348"/>
      <c r="E456" s="348"/>
      <c r="F456" s="348"/>
      <c r="G456" s="348"/>
      <c r="H456" s="348"/>
      <c r="I456" s="348"/>
      <c r="J456" s="348"/>
      <c r="K456" s="348"/>
      <c r="L456" s="145"/>
    </row>
    <row r="457" spans="2:12" ht="12.75" customHeight="1">
      <c r="B457" s="144"/>
      <c r="C457" s="348"/>
      <c r="D457" s="348"/>
      <c r="E457" s="348"/>
      <c r="F457" s="348"/>
      <c r="G457" s="348"/>
      <c r="H457" s="348"/>
      <c r="I457" s="348"/>
      <c r="J457" s="348"/>
      <c r="K457" s="348"/>
      <c r="L457" s="145"/>
    </row>
    <row r="458" spans="2:12" ht="12.75" customHeight="1" thickBot="1">
      <c r="B458" s="351"/>
      <c r="C458" s="352"/>
      <c r="D458" s="352"/>
      <c r="E458" s="352"/>
      <c r="F458" s="352"/>
      <c r="G458" s="352"/>
      <c r="H458" s="352"/>
      <c r="I458" s="352"/>
      <c r="J458" s="352"/>
      <c r="K458" s="352"/>
      <c r="L458" s="723"/>
    </row>
    <row r="459" spans="2:12">
      <c r="B459" s="1668" t="s">
        <v>417</v>
      </c>
      <c r="C459" s="1668"/>
      <c r="D459" s="342"/>
      <c r="E459" s="342"/>
      <c r="F459" s="342"/>
      <c r="G459" s="343" t="s">
        <v>439</v>
      </c>
      <c r="H459" s="1662" t="str">
        <f>H64</f>
        <v xml:space="preserve"> Sistema ByDesigner Desenvolvido Neri (21) 97014-2420</v>
      </c>
      <c r="I459" s="1662"/>
      <c r="J459" s="1662"/>
      <c r="K459" s="1662"/>
      <c r="L459" s="1662"/>
    </row>
  </sheetData>
  <sheetProtection algorithmName="SHA-512" hashValue="7JmVcDMHSpEOfYyfVQtyjtWA//ADBC9BtF7GhS4Y1si/qWvpOybTlT3d1sT/kbs53bNPDgNLo2D6jsQNFcsEUA==" saltValue="I2lGka16ApwMqrNduLXnQw==" spinCount="100000" sheet="1" objects="1" scenarios="1"/>
  <mergeCells count="322">
    <mergeCell ref="F434:G434"/>
    <mergeCell ref="F427:G427"/>
    <mergeCell ref="H459:L459"/>
    <mergeCell ref="G49:L49"/>
    <mergeCell ref="C50:F50"/>
    <mergeCell ref="G50:L50"/>
    <mergeCell ref="C51:F51"/>
    <mergeCell ref="G51:L51"/>
    <mergeCell ref="H64:L64"/>
    <mergeCell ref="H129:L129"/>
    <mergeCell ref="H195:L195"/>
    <mergeCell ref="H261:L261"/>
    <mergeCell ref="B459:C459"/>
    <mergeCell ref="B402:L410"/>
    <mergeCell ref="D418:H418"/>
    <mergeCell ref="D419:H419"/>
    <mergeCell ref="E420:G420"/>
    <mergeCell ref="D442:H442"/>
    <mergeCell ref="D443:H443"/>
    <mergeCell ref="D444:H444"/>
    <mergeCell ref="D441:H441"/>
    <mergeCell ref="D432:H432"/>
    <mergeCell ref="D433:H433"/>
    <mergeCell ref="F435:G435"/>
    <mergeCell ref="D440:H440"/>
    <mergeCell ref="D426:H426"/>
    <mergeCell ref="E396:G396"/>
    <mergeCell ref="K334:L334"/>
    <mergeCell ref="B336:L392"/>
    <mergeCell ref="B393:C393"/>
    <mergeCell ref="K395:L395"/>
    <mergeCell ref="H396:J396"/>
    <mergeCell ref="K396:L396"/>
    <mergeCell ref="E334:J334"/>
    <mergeCell ref="B334:D334"/>
    <mergeCell ref="K394:L394"/>
    <mergeCell ref="B395:D395"/>
    <mergeCell ref="H393:L393"/>
    <mergeCell ref="E400:J400"/>
    <mergeCell ref="K400:L400"/>
    <mergeCell ref="I413:L413"/>
    <mergeCell ref="B397:D397"/>
    <mergeCell ref="E397:J397"/>
    <mergeCell ref="B398:D398"/>
    <mergeCell ref="B399:D399"/>
    <mergeCell ref="E399:J399"/>
    <mergeCell ref="K397:L397"/>
    <mergeCell ref="B401:L401"/>
    <mergeCell ref="K38:L38"/>
    <mergeCell ref="I43:J43"/>
    <mergeCell ref="K69:L69"/>
    <mergeCell ref="K66:L66"/>
    <mergeCell ref="K65:L65"/>
    <mergeCell ref="C58:L58"/>
    <mergeCell ref="B68:D68"/>
    <mergeCell ref="C57:L57"/>
    <mergeCell ref="D425:H425"/>
    <mergeCell ref="B265:D265"/>
    <mergeCell ref="E265:J265"/>
    <mergeCell ref="B266:D266"/>
    <mergeCell ref="B267:D267"/>
    <mergeCell ref="E267:J267"/>
    <mergeCell ref="K266:L266"/>
    <mergeCell ref="K265:L265"/>
    <mergeCell ref="E45:F45"/>
    <mergeCell ref="B73:L73"/>
    <mergeCell ref="K131:L131"/>
    <mergeCell ref="K71:L71"/>
    <mergeCell ref="E262:J262"/>
    <mergeCell ref="K262:L262"/>
    <mergeCell ref="K264:L264"/>
    <mergeCell ref="B270:L326"/>
    <mergeCell ref="B400:D400"/>
    <mergeCell ref="K398:L398"/>
    <mergeCell ref="B327:C327"/>
    <mergeCell ref="E328:J328"/>
    <mergeCell ref="K328:L328"/>
    <mergeCell ref="K331:L331"/>
    <mergeCell ref="K332:L332"/>
    <mergeCell ref="K330:L330"/>
    <mergeCell ref="B331:D331"/>
    <mergeCell ref="E331:J331"/>
    <mergeCell ref="B332:D332"/>
    <mergeCell ref="K329:L329"/>
    <mergeCell ref="B328:D328"/>
    <mergeCell ref="E332:G332"/>
    <mergeCell ref="H332:J332"/>
    <mergeCell ref="H327:L327"/>
    <mergeCell ref="B330:D330"/>
    <mergeCell ref="E330:G330"/>
    <mergeCell ref="H330:J330"/>
    <mergeCell ref="E395:J395"/>
    <mergeCell ref="B335:L335"/>
    <mergeCell ref="B396:D396"/>
    <mergeCell ref="B333:D333"/>
    <mergeCell ref="E333:J333"/>
    <mergeCell ref="K199:L199"/>
    <mergeCell ref="B200:D200"/>
    <mergeCell ref="B201:D201"/>
    <mergeCell ref="E201:J201"/>
    <mergeCell ref="K200:L200"/>
    <mergeCell ref="B268:D268"/>
    <mergeCell ref="E268:J268"/>
    <mergeCell ref="B329:D329"/>
    <mergeCell ref="E329:J329"/>
    <mergeCell ref="B269:L269"/>
    <mergeCell ref="K268:L268"/>
    <mergeCell ref="B262:D262"/>
    <mergeCell ref="B263:D263"/>
    <mergeCell ref="E263:J263"/>
    <mergeCell ref="B264:D264"/>
    <mergeCell ref="E264:G264"/>
    <mergeCell ref="B199:D199"/>
    <mergeCell ref="E199:J199"/>
    <mergeCell ref="B202:D202"/>
    <mergeCell ref="E202:J202"/>
    <mergeCell ref="E200:G200"/>
    <mergeCell ref="H200:J200"/>
    <mergeCell ref="E266:G266"/>
    <mergeCell ref="H266:J266"/>
    <mergeCell ref="D28:G28"/>
    <mergeCell ref="I28:J28"/>
    <mergeCell ref="D29:G29"/>
    <mergeCell ref="I29:J29"/>
    <mergeCell ref="I31:J31"/>
    <mergeCell ref="I41:J41"/>
    <mergeCell ref="I42:J42"/>
    <mergeCell ref="E42:F42"/>
    <mergeCell ref="G40:H40"/>
    <mergeCell ref="I40:J40"/>
    <mergeCell ref="C41:D41"/>
    <mergeCell ref="C42:D42"/>
    <mergeCell ref="E40:F40"/>
    <mergeCell ref="B35:C35"/>
    <mergeCell ref="C36:G36"/>
    <mergeCell ref="C39:D39"/>
    <mergeCell ref="H38:I38"/>
    <mergeCell ref="G42:H42"/>
    <mergeCell ref="C40:D40"/>
    <mergeCell ref="I33:J33"/>
    <mergeCell ref="B34:C34"/>
    <mergeCell ref="I34:J34"/>
    <mergeCell ref="B37:G37"/>
    <mergeCell ref="B38:G38"/>
    <mergeCell ref="K28:L28"/>
    <mergeCell ref="K29:L29"/>
    <mergeCell ref="H36:I36"/>
    <mergeCell ref="H37:I37"/>
    <mergeCell ref="I35:J35"/>
    <mergeCell ref="B12:C12"/>
    <mergeCell ref="B17:L17"/>
    <mergeCell ref="K35:L35"/>
    <mergeCell ref="K32:L32"/>
    <mergeCell ref="K30:L30"/>
    <mergeCell ref="K31:L31"/>
    <mergeCell ref="K36:L36"/>
    <mergeCell ref="B20:C20"/>
    <mergeCell ref="B26:L26"/>
    <mergeCell ref="K12:L12"/>
    <mergeCell ref="K33:L33"/>
    <mergeCell ref="D30:G30"/>
    <mergeCell ref="I30:J30"/>
    <mergeCell ref="D31:G31"/>
    <mergeCell ref="D32:G32"/>
    <mergeCell ref="I32:J32"/>
    <mergeCell ref="D33:G33"/>
    <mergeCell ref="D27:G27"/>
    <mergeCell ref="I27:J27"/>
    <mergeCell ref="K2:L2"/>
    <mergeCell ref="K6:L6"/>
    <mergeCell ref="K9:L9"/>
    <mergeCell ref="B2:J2"/>
    <mergeCell ref="B3:D3"/>
    <mergeCell ref="E3:J3"/>
    <mergeCell ref="B4:D4"/>
    <mergeCell ref="E4:J4"/>
    <mergeCell ref="B5:D5"/>
    <mergeCell ref="E5:G5"/>
    <mergeCell ref="H5:J5"/>
    <mergeCell ref="B9:D9"/>
    <mergeCell ref="K4:L4"/>
    <mergeCell ref="B6:D6"/>
    <mergeCell ref="E6:J6"/>
    <mergeCell ref="B7:D7"/>
    <mergeCell ref="K3:L3"/>
    <mergeCell ref="K5:L5"/>
    <mergeCell ref="E9:J9"/>
    <mergeCell ref="K7:L7"/>
    <mergeCell ref="E7:G7"/>
    <mergeCell ref="H7:J7"/>
    <mergeCell ref="K37:L37"/>
    <mergeCell ref="B8:D8"/>
    <mergeCell ref="E8:J8"/>
    <mergeCell ref="C56:L56"/>
    <mergeCell ref="C55:L55"/>
    <mergeCell ref="B53:L53"/>
    <mergeCell ref="K132:L132"/>
    <mergeCell ref="B63:C63"/>
    <mergeCell ref="B64:C64"/>
    <mergeCell ref="D63:F63"/>
    <mergeCell ref="E65:J65"/>
    <mergeCell ref="I63:L63"/>
    <mergeCell ref="K39:L39"/>
    <mergeCell ref="C43:D43"/>
    <mergeCell ref="B46:L46"/>
    <mergeCell ref="C44:D44"/>
    <mergeCell ref="B65:D65"/>
    <mergeCell ref="K41:L41"/>
    <mergeCell ref="K42:L42"/>
    <mergeCell ref="K43:L43"/>
    <mergeCell ref="I44:J44"/>
    <mergeCell ref="I39:J39"/>
    <mergeCell ref="K34:L34"/>
    <mergeCell ref="K27:L27"/>
    <mergeCell ref="K134:L134"/>
    <mergeCell ref="E134:G134"/>
    <mergeCell ref="H134:J134"/>
    <mergeCell ref="K67:L67"/>
    <mergeCell ref="K68:L68"/>
    <mergeCell ref="C59:L59"/>
    <mergeCell ref="E44:F44"/>
    <mergeCell ref="B130:D130"/>
    <mergeCell ref="H67:J67"/>
    <mergeCell ref="E68:J68"/>
    <mergeCell ref="H132:J132"/>
    <mergeCell ref="B131:D131"/>
    <mergeCell ref="E131:J131"/>
    <mergeCell ref="B129:C129"/>
    <mergeCell ref="E130:J130"/>
    <mergeCell ref="K130:L130"/>
    <mergeCell ref="B66:D66"/>
    <mergeCell ref="E66:J66"/>
    <mergeCell ref="C47:F47"/>
    <mergeCell ref="G47:L47"/>
    <mergeCell ref="C48:F48"/>
    <mergeCell ref="G48:L48"/>
    <mergeCell ref="C49:F49"/>
    <mergeCell ref="G43:H43"/>
    <mergeCell ref="G41:H41"/>
    <mergeCell ref="C45:D45"/>
    <mergeCell ref="E41:F41"/>
    <mergeCell ref="K44:L44"/>
    <mergeCell ref="G44:H44"/>
    <mergeCell ref="I45:J45"/>
    <mergeCell ref="K45:L45"/>
    <mergeCell ref="E69:G69"/>
    <mergeCell ref="H69:J69"/>
    <mergeCell ref="C52:F52"/>
    <mergeCell ref="G52:L52"/>
    <mergeCell ref="E67:G67"/>
    <mergeCell ref="K263:L263"/>
    <mergeCell ref="B204:L260"/>
    <mergeCell ref="B261:C261"/>
    <mergeCell ref="B132:D132"/>
    <mergeCell ref="E132:G132"/>
    <mergeCell ref="K197:L197"/>
    <mergeCell ref="E197:J197"/>
    <mergeCell ref="K198:L198"/>
    <mergeCell ref="B198:D198"/>
    <mergeCell ref="E198:G198"/>
    <mergeCell ref="H198:J198"/>
    <mergeCell ref="B196:D196"/>
    <mergeCell ref="E137:J137"/>
    <mergeCell ref="B134:D134"/>
    <mergeCell ref="B138:L194"/>
    <mergeCell ref="B195:C195"/>
    <mergeCell ref="E196:J196"/>
    <mergeCell ref="K196:L196"/>
    <mergeCell ref="B197:D197"/>
    <mergeCell ref="B133:D133"/>
    <mergeCell ref="E133:J133"/>
    <mergeCell ref="K137:L137"/>
    <mergeCell ref="B136:D136"/>
    <mergeCell ref="E136:J136"/>
    <mergeCell ref="B394:D394"/>
    <mergeCell ref="E398:G398"/>
    <mergeCell ref="H398:J398"/>
    <mergeCell ref="E39:F39"/>
    <mergeCell ref="G39:H39"/>
    <mergeCell ref="C54:L54"/>
    <mergeCell ref="E43:F43"/>
    <mergeCell ref="G45:H45"/>
    <mergeCell ref="K136:L136"/>
    <mergeCell ref="K133:L133"/>
    <mergeCell ref="K40:L40"/>
    <mergeCell ref="B74:L128"/>
    <mergeCell ref="B69:D69"/>
    <mergeCell ref="B70:D70"/>
    <mergeCell ref="E70:J70"/>
    <mergeCell ref="B71:D71"/>
    <mergeCell ref="E71:J71"/>
    <mergeCell ref="B67:D67"/>
    <mergeCell ref="B135:D135"/>
    <mergeCell ref="E135:J135"/>
    <mergeCell ref="E394:J394"/>
    <mergeCell ref="H264:J264"/>
    <mergeCell ref="B203:L203"/>
    <mergeCell ref="K202:L202"/>
    <mergeCell ref="B10:L10"/>
    <mergeCell ref="B11:I11"/>
    <mergeCell ref="K11:L11"/>
    <mergeCell ref="B16:C16"/>
    <mergeCell ref="B18:C18"/>
    <mergeCell ref="D18:F18"/>
    <mergeCell ref="H18:I18"/>
    <mergeCell ref="D16:J16"/>
    <mergeCell ref="B25:L25"/>
    <mergeCell ref="B19:L19"/>
    <mergeCell ref="E20:F20"/>
    <mergeCell ref="H20:L20"/>
    <mergeCell ref="B21:L21"/>
    <mergeCell ref="B22:C22"/>
    <mergeCell ref="D22:J22"/>
    <mergeCell ref="B23:L23"/>
    <mergeCell ref="B24:C24"/>
    <mergeCell ref="D24:F24"/>
    <mergeCell ref="H24:I24"/>
    <mergeCell ref="D12:I12"/>
    <mergeCell ref="B13:L13"/>
    <mergeCell ref="B14:D14"/>
    <mergeCell ref="E14:F14"/>
    <mergeCell ref="B15:L15"/>
  </mergeCells>
  <printOptions horizontalCentered="1" verticalCentered="1"/>
  <pageMargins left="0.19685039370078741" right="0.11811023622047245" top="0.19685039370078741" bottom="0.19685039370078741" header="0.31496062992125984" footer="0.31496062992125984"/>
  <pageSetup paperSize="9" scale="95" fitToHeight="0" orientation="portrait" r:id="rId1"/>
  <rowBreaks count="6" manualBreakCount="6">
    <brk id="64" max="16383" man="1"/>
    <brk id="129" max="16383" man="1"/>
    <brk id="195" max="16383" man="1"/>
    <brk id="261" max="16383" man="1"/>
    <brk id="327" max="16383" man="1"/>
    <brk id="393" max="16383" man="1"/>
  </rowBreaks>
  <colBreaks count="1" manualBreakCount="1">
    <brk id="1" max="1048575" man="1"/>
  </colBreaks>
  <drawing r:id="rId2"/>
  <legacyDrawing r:id="rId3"/>
  <oleObjects>
    <mc:AlternateContent xmlns:mc="http://schemas.openxmlformats.org/markup-compatibility/2006">
      <mc:Choice Requires="x14">
        <oleObject progId="Word.Document.12" shapeId="1039" r:id="rId4">
          <objectPr defaultSize="0" autoPict="0" r:id="rId5">
            <anchor moveWithCells="1">
              <from>
                <xdr:col>12</xdr:col>
                <xdr:colOff>488950</xdr:colOff>
                <xdr:row>397</xdr:row>
                <xdr:rowOff>152400</xdr:rowOff>
              </from>
              <to>
                <xdr:col>20</xdr:col>
                <xdr:colOff>520700</xdr:colOff>
                <xdr:row>405</xdr:row>
                <xdr:rowOff>146050</xdr:rowOff>
              </to>
            </anchor>
          </objectPr>
        </oleObject>
      </mc:Choice>
      <mc:Fallback>
        <oleObject progId="Word.Document.12" shapeId="1039" r:id="rId4"/>
      </mc:Fallback>
    </mc:AlternateContent>
    <mc:AlternateContent xmlns:mc="http://schemas.openxmlformats.org/markup-compatibility/2006">
      <mc:Choice Requires="x14">
        <oleObject progId="Word.Document.12" shapeId="1040" r:id="rId6">
          <objectPr defaultSize="0" autoPict="0" r:id="rId7">
            <anchor moveWithCells="1">
              <from>
                <xdr:col>12</xdr:col>
                <xdr:colOff>488950</xdr:colOff>
                <xdr:row>397</xdr:row>
                <xdr:rowOff>152400</xdr:rowOff>
              </from>
              <to>
                <xdr:col>20</xdr:col>
                <xdr:colOff>527050</xdr:colOff>
                <xdr:row>405</xdr:row>
                <xdr:rowOff>146050</xdr:rowOff>
              </to>
            </anchor>
          </objectPr>
        </oleObject>
      </mc:Choice>
      <mc:Fallback>
        <oleObject progId="Word.Document.12" shapeId="1040"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6">
    <tabColor rgb="FFFF0000"/>
    <pageSetUpPr fitToPage="1"/>
  </sheetPr>
  <dimension ref="B1:W49"/>
  <sheetViews>
    <sheetView showGridLines="0" zoomScale="80" zoomScaleNormal="80" workbookViewId="0">
      <selection activeCell="C43" sqref="C43:V43"/>
    </sheetView>
  </sheetViews>
  <sheetFormatPr defaultColWidth="9.1796875" defaultRowHeight="12.5"/>
  <cols>
    <col min="1" max="1" width="0.81640625" style="116" customWidth="1"/>
    <col min="2" max="2" width="2.26953125" style="116" customWidth="1"/>
    <col min="3" max="8" width="9.1796875" style="116"/>
    <col min="9" max="9" width="17.81640625" style="116" bestFit="1" customWidth="1"/>
    <col min="10" max="10" width="9" style="116" customWidth="1"/>
    <col min="11" max="11" width="9.26953125" style="116" customWidth="1"/>
    <col min="12" max="12" width="8.7265625" style="116" customWidth="1"/>
    <col min="13" max="13" width="12.54296875" style="116" customWidth="1"/>
    <col min="14" max="14" width="17.81640625" style="116" bestFit="1" customWidth="1"/>
    <col min="15" max="16" width="9.1796875" style="116"/>
    <col min="17" max="17" width="15.26953125" style="116" customWidth="1"/>
    <col min="18" max="18" width="9.1796875" style="116"/>
    <col min="19" max="19" width="10.81640625" style="116" bestFit="1" customWidth="1"/>
    <col min="20" max="20" width="7.453125" style="116" customWidth="1"/>
    <col min="21" max="21" width="0.81640625" style="116" customWidth="1"/>
    <col min="22" max="22" width="1" style="116" customWidth="1"/>
    <col min="23" max="23" width="17.81640625" style="116" bestFit="1" customWidth="1"/>
    <col min="24" max="16384" width="9.1796875" style="116"/>
  </cols>
  <sheetData>
    <row r="1" spans="2:22" ht="45" customHeight="1"/>
    <row r="2" spans="2:22" ht="4.5" customHeight="1">
      <c r="B2" s="735"/>
      <c r="C2" s="736"/>
      <c r="D2" s="736"/>
      <c r="E2" s="736"/>
      <c r="F2" s="736"/>
      <c r="G2" s="736"/>
      <c r="H2" s="736"/>
      <c r="I2" s="736"/>
      <c r="J2" s="736"/>
      <c r="K2" s="736"/>
      <c r="L2" s="736"/>
      <c r="M2" s="736"/>
      <c r="N2" s="736"/>
      <c r="O2" s="736"/>
      <c r="P2" s="736"/>
      <c r="Q2" s="736"/>
      <c r="R2" s="736"/>
      <c r="S2" s="736"/>
      <c r="T2" s="736"/>
      <c r="U2" s="736"/>
      <c r="V2" s="737"/>
    </row>
    <row r="3" spans="2:22" ht="44.5" customHeight="1">
      <c r="B3" s="146"/>
      <c r="C3" s="1894" t="str">
        <f>'1FComprador'!E3</f>
        <v>Razão Social da Loja</v>
      </c>
      <c r="D3" s="1894"/>
      <c r="E3" s="1894"/>
      <c r="F3" s="1894"/>
      <c r="G3" s="1894"/>
      <c r="H3" s="1894"/>
      <c r="I3" s="1894"/>
      <c r="J3" s="1894"/>
      <c r="K3" s="1894"/>
      <c r="L3" s="1894"/>
      <c r="M3" s="1894"/>
      <c r="N3" s="147"/>
      <c r="O3" s="1895" t="s">
        <v>440</v>
      </c>
      <c r="P3" s="1895"/>
      <c r="Q3" s="1895"/>
      <c r="R3" s="1895"/>
      <c r="S3" s="1895"/>
      <c r="T3" s="1895"/>
      <c r="U3" s="1895"/>
      <c r="V3" s="148"/>
    </row>
    <row r="4" spans="2:22" ht="12.75" customHeight="1">
      <c r="B4" s="146"/>
      <c r="C4" s="1903" t="s">
        <v>441</v>
      </c>
      <c r="D4" s="1903"/>
      <c r="E4" s="1903"/>
      <c r="F4" s="1903"/>
      <c r="G4" s="1903"/>
      <c r="H4" s="1903"/>
      <c r="I4" s="1903"/>
      <c r="J4" s="1903"/>
      <c r="K4" s="1903"/>
      <c r="L4" s="1903"/>
      <c r="M4" s="1903"/>
      <c r="O4" s="1896" t="str">
        <f>'0F Lj'!B27</f>
        <v>de 5 anos.</v>
      </c>
      <c r="P4" s="1896"/>
      <c r="Q4" s="1896"/>
      <c r="R4" s="1896"/>
      <c r="S4" s="1896"/>
      <c r="T4" s="1896"/>
      <c r="U4" s="1896"/>
      <c r="V4" s="149"/>
    </row>
    <row r="5" spans="2:22" ht="21" customHeight="1">
      <c r="B5" s="146"/>
      <c r="C5" s="1903"/>
      <c r="D5" s="1903"/>
      <c r="E5" s="1903"/>
      <c r="F5" s="1903"/>
      <c r="G5" s="1903"/>
      <c r="H5" s="1903"/>
      <c r="I5" s="1903"/>
      <c r="J5" s="1903"/>
      <c r="K5" s="1903"/>
      <c r="L5" s="1903"/>
      <c r="M5" s="1903"/>
      <c r="O5" s="1896"/>
      <c r="P5" s="1896"/>
      <c r="Q5" s="1896"/>
      <c r="R5" s="1896"/>
      <c r="S5" s="1896"/>
      <c r="T5" s="1896"/>
      <c r="U5" s="1896"/>
      <c r="V5" s="149"/>
    </row>
    <row r="6" spans="2:22" ht="34.5" customHeight="1">
      <c r="B6" s="146"/>
      <c r="C6" s="1903"/>
      <c r="D6" s="1903"/>
      <c r="E6" s="1903"/>
      <c r="F6" s="1903"/>
      <c r="G6" s="1903"/>
      <c r="H6" s="1903"/>
      <c r="I6" s="1903"/>
      <c r="J6" s="1903"/>
      <c r="K6" s="1903"/>
      <c r="L6" s="1903"/>
      <c r="M6" s="1903"/>
      <c r="O6" s="1896"/>
      <c r="P6" s="1896"/>
      <c r="Q6" s="1896"/>
      <c r="R6" s="1896"/>
      <c r="S6" s="1896"/>
      <c r="T6" s="1896"/>
      <c r="U6" s="1896"/>
      <c r="V6" s="149"/>
    </row>
    <row r="7" spans="2:22">
      <c r="B7" s="146"/>
      <c r="V7" s="149"/>
    </row>
    <row r="8" spans="2:22">
      <c r="B8" s="146"/>
      <c r="V8" s="149"/>
    </row>
    <row r="9" spans="2:22">
      <c r="B9" s="146"/>
      <c r="V9" s="149"/>
    </row>
    <row r="10" spans="2:22">
      <c r="B10" s="146"/>
      <c r="V10" s="149"/>
    </row>
    <row r="11" spans="2:22">
      <c r="B11" s="146"/>
      <c r="V11" s="149"/>
    </row>
    <row r="12" spans="2:22">
      <c r="B12" s="146"/>
      <c r="V12" s="149"/>
    </row>
    <row r="13" spans="2:22">
      <c r="B13" s="146"/>
      <c r="V13" s="149"/>
    </row>
    <row r="14" spans="2:22">
      <c r="B14" s="146"/>
      <c r="V14" s="149"/>
    </row>
    <row r="15" spans="2:22">
      <c r="B15" s="146"/>
      <c r="V15" s="149"/>
    </row>
    <row r="16" spans="2:22">
      <c r="B16" s="146"/>
      <c r="V16" s="149"/>
    </row>
    <row r="17" spans="2:22">
      <c r="B17" s="146"/>
      <c r="V17" s="149"/>
    </row>
    <row r="18" spans="2:22">
      <c r="B18" s="146"/>
      <c r="V18" s="149"/>
    </row>
    <row r="19" spans="2:22">
      <c r="B19" s="146"/>
      <c r="V19" s="149"/>
    </row>
    <row r="20" spans="2:22">
      <c r="B20" s="146"/>
      <c r="V20" s="149"/>
    </row>
    <row r="21" spans="2:22">
      <c r="B21" s="146"/>
      <c r="V21" s="149"/>
    </row>
    <row r="22" spans="2:22">
      <c r="B22" s="146"/>
      <c r="V22" s="149"/>
    </row>
    <row r="23" spans="2:22">
      <c r="B23" s="146"/>
      <c r="V23" s="149"/>
    </row>
    <row r="24" spans="2:22">
      <c r="B24" s="146"/>
      <c r="V24" s="149"/>
    </row>
    <row r="25" spans="2:22">
      <c r="B25" s="146"/>
      <c r="V25" s="149"/>
    </row>
    <row r="26" spans="2:22">
      <c r="B26" s="146"/>
      <c r="V26" s="149"/>
    </row>
    <row r="27" spans="2:22">
      <c r="B27" s="146"/>
      <c r="V27" s="149"/>
    </row>
    <row r="28" spans="2:22">
      <c r="B28" s="146"/>
      <c r="V28" s="149"/>
    </row>
    <row r="29" spans="2:22">
      <c r="B29" s="146"/>
      <c r="V29" s="149"/>
    </row>
    <row r="30" spans="2:22">
      <c r="B30" s="146"/>
      <c r="V30" s="149"/>
    </row>
    <row r="31" spans="2:22">
      <c r="B31" s="146"/>
      <c r="V31" s="149"/>
    </row>
    <row r="32" spans="2:22">
      <c r="B32" s="146"/>
      <c r="V32" s="149"/>
    </row>
    <row r="33" spans="2:23" ht="13" thickBot="1">
      <c r="B33" s="146"/>
      <c r="V33" s="149"/>
    </row>
    <row r="34" spans="2:23" ht="14.5" thickBot="1">
      <c r="B34" s="146"/>
      <c r="I34" s="1899" t="s">
        <v>442</v>
      </c>
      <c r="J34" s="1900"/>
      <c r="K34" s="1900"/>
      <c r="L34" s="1900"/>
      <c r="M34" s="1900"/>
      <c r="N34" s="1901"/>
      <c r="O34" s="1899" t="s">
        <v>443</v>
      </c>
      <c r="P34" s="1900"/>
      <c r="Q34" s="1900"/>
      <c r="R34" s="1900"/>
      <c r="S34" s="1900"/>
      <c r="T34" s="1901"/>
      <c r="U34" s="150"/>
      <c r="V34" s="149"/>
    </row>
    <row r="35" spans="2:23" ht="15.5">
      <c r="B35" s="146"/>
      <c r="I35" s="1902" t="str">
        <f>'1FComprador'!E3</f>
        <v>Razão Social da Loja</v>
      </c>
      <c r="J35" s="1897"/>
      <c r="K35" s="1897"/>
      <c r="L35" s="1897"/>
      <c r="M35" s="1897"/>
      <c r="N35" s="1898"/>
      <c r="O35" s="1892" t="str">
        <f>"Pedido nº: "&amp;""</f>
        <v xml:space="preserve">Pedido nº: </v>
      </c>
      <c r="P35" s="1893"/>
      <c r="Q35" s="1893"/>
      <c r="R35" s="1897" t="str">
        <f>'1FComprador'!K5</f>
        <v>DG-0625-01</v>
      </c>
      <c r="S35" s="1897"/>
      <c r="T35" s="1898"/>
      <c r="V35" s="149"/>
    </row>
    <row r="36" spans="2:23" ht="13">
      <c r="B36" s="146"/>
      <c r="I36" s="1414" t="str">
        <f>'1FComprador'!E4</f>
        <v>Nome Fantasia Loja</v>
      </c>
      <c r="J36" s="1415"/>
      <c r="K36" s="1415"/>
      <c r="L36" s="1415"/>
      <c r="M36" s="1415"/>
      <c r="N36" s="1416"/>
      <c r="O36" s="151"/>
      <c r="P36" s="152" t="s">
        <v>444</v>
      </c>
      <c r="Q36" s="152"/>
      <c r="R36" s="151"/>
      <c r="S36" s="1905">
        <f ca="1">'1FComprador'!K7</f>
        <v>46153</v>
      </c>
      <c r="T36" s="1906"/>
      <c r="V36" s="149"/>
    </row>
    <row r="37" spans="2:23" ht="15.5">
      <c r="B37" s="146"/>
      <c r="I37" s="1885" t="str">
        <f>'1FComprador'!E6</f>
        <v>Endereço da Loja</v>
      </c>
      <c r="J37" s="1415"/>
      <c r="K37" s="1415"/>
      <c r="L37" s="1415"/>
      <c r="M37" s="1415"/>
      <c r="N37" s="1416"/>
      <c r="O37" s="1911" t="str">
        <f>IF('1FComprador'!D12&lt;&gt;"",'1FComprador'!D12,"")</f>
        <v/>
      </c>
      <c r="P37" s="1912"/>
      <c r="Q37" s="1912"/>
      <c r="R37" s="1912"/>
      <c r="S37" s="1912"/>
      <c r="T37" s="1913"/>
      <c r="V37" s="149"/>
    </row>
    <row r="38" spans="2:23" ht="13.5" thickBot="1">
      <c r="B38" s="146"/>
      <c r="I38" s="673" t="s">
        <v>445</v>
      </c>
      <c r="J38" s="1886" t="str">
        <f>'0F Lj'!D19</f>
        <v>CNPJ da Loja</v>
      </c>
      <c r="K38" s="1886"/>
      <c r="L38" s="1887" t="s">
        <v>446</v>
      </c>
      <c r="M38" s="1887"/>
      <c r="N38" s="724" t="str">
        <f>'1FComprador'!H5</f>
        <v>Inscrição da loja</v>
      </c>
      <c r="O38" s="1908" t="str">
        <f>"CPF/CNPJ :  "&amp;'1FComprador'!K12</f>
        <v xml:space="preserve">CPF/CNPJ :  </v>
      </c>
      <c r="P38" s="1909"/>
      <c r="Q38" s="1909"/>
      <c r="R38" s="1909"/>
      <c r="S38" s="1909"/>
      <c r="T38" s="1910"/>
      <c r="V38" s="149"/>
    </row>
    <row r="39" spans="2:23" ht="13">
      <c r="B39" s="146"/>
      <c r="I39" s="153"/>
      <c r="J39" s="153"/>
      <c r="K39" s="153"/>
      <c r="L39" s="153"/>
      <c r="M39" s="153"/>
      <c r="N39" s="153"/>
      <c r="O39" s="154"/>
      <c r="P39" s="154"/>
      <c r="Q39" s="154"/>
      <c r="R39" s="154"/>
      <c r="S39" s="154"/>
      <c r="T39" s="154"/>
      <c r="V39" s="149"/>
    </row>
    <row r="40" spans="2:23" ht="31.5" customHeight="1">
      <c r="B40" s="146"/>
      <c r="C40" s="1890" t="s">
        <v>878</v>
      </c>
      <c r="D40" s="1890"/>
      <c r="E40" s="1890"/>
      <c r="F40" s="1890"/>
      <c r="G40" s="1890"/>
      <c r="H40" s="1890"/>
      <c r="I40" s="1890"/>
      <c r="J40" s="1890"/>
      <c r="K40" s="1890"/>
      <c r="L40" s="1890"/>
      <c r="M40" s="1890"/>
      <c r="N40" s="1890"/>
      <c r="O40" s="1890"/>
      <c r="P40" s="1890"/>
      <c r="Q40" s="1890"/>
      <c r="R40" s="1890"/>
      <c r="S40" s="1890"/>
      <c r="T40" s="1890"/>
      <c r="U40" s="117"/>
      <c r="V40" s="155"/>
    </row>
    <row r="41" spans="2:23" ht="31">
      <c r="B41" s="146"/>
      <c r="C41" s="1890" t="s">
        <v>447</v>
      </c>
      <c r="D41" s="1890"/>
      <c r="E41" s="1890"/>
      <c r="F41" s="1890"/>
      <c r="G41" s="1890"/>
      <c r="H41" s="1890"/>
      <c r="I41" s="1890"/>
      <c r="J41" s="1890"/>
      <c r="K41" s="1890"/>
      <c r="L41" s="1890"/>
      <c r="M41" s="1890"/>
      <c r="N41" s="1890"/>
      <c r="O41" s="1890"/>
      <c r="P41" s="1890"/>
      <c r="Q41" s="1890"/>
      <c r="R41" s="1890"/>
      <c r="S41" s="1890"/>
      <c r="T41" s="1890"/>
      <c r="U41" s="117"/>
      <c r="V41" s="155"/>
      <c r="W41" s="156"/>
    </row>
    <row r="42" spans="2:23" ht="31">
      <c r="B42" s="146"/>
      <c r="C42" s="1890" t="s">
        <v>448</v>
      </c>
      <c r="D42" s="1890"/>
      <c r="E42" s="1890"/>
      <c r="F42" s="1890"/>
      <c r="G42" s="1890"/>
      <c r="H42" s="1890"/>
      <c r="I42" s="1890"/>
      <c r="J42" s="1890"/>
      <c r="K42" s="1890"/>
      <c r="L42" s="1890"/>
      <c r="M42" s="1890"/>
      <c r="N42" s="1890"/>
      <c r="O42" s="1890"/>
      <c r="P42" s="1890"/>
      <c r="Q42" s="1890"/>
      <c r="R42" s="1890"/>
      <c r="S42" s="1890"/>
      <c r="T42" s="1890"/>
      <c r="U42" s="1890"/>
      <c r="V42" s="155"/>
    </row>
    <row r="43" spans="2:23" s="158" customFormat="1" ht="28.5">
      <c r="B43" s="157"/>
      <c r="C43" s="1888" t="str">
        <f>"O  Certificado dos MÓVEIS,  a garantia estendida da loja após a conclusão da montagem será "&amp;'0F Lj'!$B$27</f>
        <v>O  Certificado dos MÓVEIS,  a garantia estendida da loja após a conclusão da montagem será de 5 anos.</v>
      </c>
      <c r="D43" s="1888"/>
      <c r="E43" s="1888"/>
      <c r="F43" s="1888"/>
      <c r="G43" s="1888"/>
      <c r="H43" s="1888"/>
      <c r="I43" s="1888"/>
      <c r="J43" s="1888"/>
      <c r="K43" s="1888"/>
      <c r="L43" s="1888"/>
      <c r="M43" s="1888"/>
      <c r="N43" s="1888"/>
      <c r="O43" s="1888"/>
      <c r="P43" s="1888"/>
      <c r="Q43" s="1888"/>
      <c r="R43" s="1888"/>
      <c r="S43" s="1888"/>
      <c r="T43" s="1888"/>
      <c r="U43" s="1888"/>
      <c r="V43" s="1889"/>
    </row>
    <row r="44" spans="2:23" ht="6" customHeight="1">
      <c r="B44" s="159"/>
      <c r="C44" s="142"/>
      <c r="D44" s="142"/>
      <c r="E44" s="142"/>
      <c r="F44" s="142"/>
      <c r="G44" s="142"/>
      <c r="H44" s="142"/>
      <c r="I44" s="142"/>
      <c r="J44" s="142"/>
      <c r="K44" s="142"/>
      <c r="L44" s="142"/>
      <c r="M44" s="142"/>
      <c r="N44" s="160"/>
      <c r="O44" s="142"/>
      <c r="P44" s="142"/>
      <c r="Q44" s="160"/>
      <c r="R44" s="142"/>
      <c r="S44" s="142"/>
      <c r="T44" s="142"/>
      <c r="U44" s="142"/>
      <c r="V44" s="161"/>
    </row>
    <row r="45" spans="2:23" s="109" customFormat="1">
      <c r="B45" s="1907" t="s">
        <v>449</v>
      </c>
      <c r="C45" s="1907"/>
      <c r="D45" s="1907"/>
      <c r="E45" s="1907"/>
      <c r="F45" s="1907"/>
      <c r="G45" s="1907"/>
      <c r="J45" s="738" t="s">
        <v>121</v>
      </c>
      <c r="K45" s="738"/>
      <c r="L45" s="738"/>
      <c r="M45" s="738"/>
      <c r="N45" s="738"/>
      <c r="O45" s="738"/>
      <c r="P45" s="1904" t="str">
        <f>'0F Lj'!D80</f>
        <v xml:space="preserve"> Sistema ByDesigner Desenvolvido Neri (21) 97014-2420</v>
      </c>
      <c r="Q45" s="1904"/>
      <c r="R45" s="1904"/>
      <c r="S45" s="1904"/>
      <c r="T45" s="1904"/>
      <c r="U45" s="1904"/>
      <c r="V45" s="1904"/>
    </row>
    <row r="49" spans="11:13">
      <c r="K49" s="1891"/>
      <c r="L49" s="1404"/>
      <c r="M49" s="1404"/>
    </row>
  </sheetData>
  <sheetProtection algorithmName="SHA-512" hashValue="PuWoIUhGe6qndbGd/IlFs7BNqQUw3XsNWWxfThgMnQy4t1YiV1zpC7sS5fBcfX3BtolRpAvLI4C+jczQZZp6ZA==" saltValue="k5/zT7vvnHXFYABejRKW2g==" spinCount="100000" sheet="1" objects="1" scenarios="1"/>
  <mergeCells count="23">
    <mergeCell ref="K49:M49"/>
    <mergeCell ref="O35:Q35"/>
    <mergeCell ref="C3:M3"/>
    <mergeCell ref="O3:U3"/>
    <mergeCell ref="O4:U6"/>
    <mergeCell ref="R35:T35"/>
    <mergeCell ref="I34:N34"/>
    <mergeCell ref="O34:T34"/>
    <mergeCell ref="I35:N35"/>
    <mergeCell ref="C4:M6"/>
    <mergeCell ref="P45:V45"/>
    <mergeCell ref="S36:T36"/>
    <mergeCell ref="B45:G45"/>
    <mergeCell ref="C42:U42"/>
    <mergeCell ref="O38:T38"/>
    <mergeCell ref="O37:T37"/>
    <mergeCell ref="I36:N36"/>
    <mergeCell ref="I37:N37"/>
    <mergeCell ref="J38:K38"/>
    <mergeCell ref="L38:M38"/>
    <mergeCell ref="C43:V43"/>
    <mergeCell ref="C40:T40"/>
    <mergeCell ref="C41:T41"/>
  </mergeCells>
  <printOptions horizontalCentered="1" verticalCentered="1"/>
  <pageMargins left="0" right="0" top="0" bottom="0.19685039370078741" header="0.51181102362204722" footer="0.51181102362204722"/>
  <pageSetup paperSize="9" scale="74" orientation="landscape" r:id="rId1"/>
  <drawing r:id="rId2"/>
  <legacyDrawing r:id="rId3"/>
  <oleObjects>
    <mc:AlternateContent xmlns:mc="http://schemas.openxmlformats.org/markup-compatibility/2006">
      <mc:Choice Requires="x14">
        <oleObject progId="Word.Document.12" shapeId="13315" r:id="rId4">
          <objectPr defaultSize="0" autoPict="0" r:id="rId5">
            <anchor moveWithCells="1">
              <from>
                <xdr:col>1</xdr:col>
                <xdr:colOff>95250</xdr:colOff>
                <xdr:row>6</xdr:row>
                <xdr:rowOff>38100</xdr:rowOff>
              </from>
              <to>
                <xdr:col>12</xdr:col>
                <xdr:colOff>69850</xdr:colOff>
                <xdr:row>38</xdr:row>
                <xdr:rowOff>0</xdr:rowOff>
              </to>
            </anchor>
          </objectPr>
        </oleObject>
      </mc:Choice>
      <mc:Fallback>
        <oleObject progId="Word.Document.12" shapeId="13315"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3">
    <tabColor rgb="FFFF0000"/>
  </sheetPr>
  <dimension ref="B1:N127"/>
  <sheetViews>
    <sheetView zoomScale="120" zoomScaleNormal="120" workbookViewId="0">
      <selection activeCell="N14" sqref="N14"/>
    </sheetView>
  </sheetViews>
  <sheetFormatPr defaultColWidth="9.1796875" defaultRowHeight="12.5"/>
  <cols>
    <col min="1" max="1" width="1" style="116" customWidth="1"/>
    <col min="2" max="2" width="9.1796875" style="116"/>
    <col min="3" max="3" width="8" style="116" customWidth="1"/>
    <col min="4" max="4" width="4.26953125" style="116" customWidth="1"/>
    <col min="5" max="5" width="9.1796875" style="116"/>
    <col min="6" max="6" width="7.453125" style="116" customWidth="1"/>
    <col min="7" max="7" width="9.1796875" style="116"/>
    <col min="8" max="8" width="10.1796875" style="116" customWidth="1"/>
    <col min="9" max="9" width="9.1796875" style="116"/>
    <col min="10" max="10" width="7.26953125" style="116" customWidth="1"/>
    <col min="11" max="11" width="9.1796875" style="116"/>
    <col min="12" max="12" width="10" style="116" customWidth="1"/>
    <col min="13" max="16384" width="9.1796875" style="116"/>
  </cols>
  <sheetData>
    <row r="1" spans="2:14" ht="13.5" customHeight="1" thickBot="1"/>
    <row r="2" spans="2:14" ht="16" thickBot="1">
      <c r="B2" s="1394" t="s">
        <v>450</v>
      </c>
      <c r="C2" s="1395"/>
      <c r="D2" s="1395"/>
      <c r="E2" s="1395"/>
      <c r="F2" s="1395"/>
      <c r="G2" s="1395"/>
      <c r="H2" s="1395"/>
      <c r="I2" s="1395"/>
      <c r="J2" s="1395"/>
      <c r="K2" s="1935" t="s">
        <v>415</v>
      </c>
      <c r="L2" s="1936"/>
    </row>
    <row r="3" spans="2:14" ht="13">
      <c r="B3" s="1397" t="s">
        <v>124</v>
      </c>
      <c r="C3" s="1398"/>
      <c r="D3" s="1398"/>
      <c r="E3" s="1400" t="str">
        <f>'1FComprador'!E3</f>
        <v>Razão Social da Loja</v>
      </c>
      <c r="F3" s="1401"/>
      <c r="G3" s="1401"/>
      <c r="H3" s="1401"/>
      <c r="I3" s="1401"/>
      <c r="J3" s="1402"/>
      <c r="K3" s="1816"/>
      <c r="L3" s="1399"/>
    </row>
    <row r="4" spans="2:14">
      <c r="B4" s="1403" t="s">
        <v>125</v>
      </c>
      <c r="C4" s="1404"/>
      <c r="D4" s="1404"/>
      <c r="E4" s="1765" t="str">
        <f>'1FComprador'!E4</f>
        <v>Nome Fantasia Loja</v>
      </c>
      <c r="F4" s="1766"/>
      <c r="G4" s="1766"/>
      <c r="H4" s="1766"/>
      <c r="I4" s="1766"/>
      <c r="J4" s="1928"/>
      <c r="K4" s="1412" t="s">
        <v>126</v>
      </c>
      <c r="L4" s="1413"/>
      <c r="N4" s="117"/>
    </row>
    <row r="5" spans="2:14">
      <c r="B5" s="1421" t="s">
        <v>127</v>
      </c>
      <c r="C5" s="1404"/>
      <c r="D5" s="1404"/>
      <c r="E5" s="1410" t="str">
        <f>'1FComprador'!E5:G5</f>
        <v>CNPJ da Loja</v>
      </c>
      <c r="F5" s="1411"/>
      <c r="G5" s="1411"/>
      <c r="H5" s="1417" t="str">
        <f>'1FComprador'!H5:J5</f>
        <v>Inscrição da loja</v>
      </c>
      <c r="I5" s="1417"/>
      <c r="J5" s="1418"/>
      <c r="K5" s="1422" t="str">
        <f>'1FComprador'!K5:L5</f>
        <v>DG-0625-01</v>
      </c>
      <c r="L5" s="1405"/>
    </row>
    <row r="6" spans="2:14" ht="13">
      <c r="B6" s="1403" t="s">
        <v>128</v>
      </c>
      <c r="C6" s="1404"/>
      <c r="D6" s="1404"/>
      <c r="E6" s="1414" t="str">
        <f>'1FComprador'!E6:J6</f>
        <v>Endereço da Loja</v>
      </c>
      <c r="F6" s="1415"/>
      <c r="G6" s="1415"/>
      <c r="H6" s="1415"/>
      <c r="I6" s="1415"/>
      <c r="J6" s="1416"/>
      <c r="K6" s="1406" t="s">
        <v>129</v>
      </c>
      <c r="L6" s="1407"/>
    </row>
    <row r="7" spans="2:14">
      <c r="B7" s="1421" t="s">
        <v>130</v>
      </c>
      <c r="C7" s="1404"/>
      <c r="D7" s="1404"/>
      <c r="E7" s="1421" t="str">
        <f>'1FComprador'!E7:G7</f>
        <v>Bairro da loja</v>
      </c>
      <c r="F7" s="1422"/>
      <c r="G7" s="1422"/>
      <c r="H7" s="1422" t="str">
        <f>'1FComprador'!H7:J7</f>
        <v>Fone</v>
      </c>
      <c r="I7" s="1422"/>
      <c r="J7" s="1423"/>
      <c r="K7" s="1821">
        <f ca="1">'1FComprador'!K7</f>
        <v>46153</v>
      </c>
      <c r="L7" s="1822"/>
    </row>
    <row r="8" spans="2:14">
      <c r="B8" s="1403" t="s">
        <v>131</v>
      </c>
      <c r="C8" s="1404"/>
      <c r="D8" s="1404"/>
      <c r="E8" s="1765" t="str">
        <f>'1FComprador'!E8:J8</f>
        <v>E-mail da Loja</v>
      </c>
      <c r="F8" s="1766"/>
      <c r="G8" s="1766"/>
      <c r="H8" s="1766"/>
      <c r="I8" s="1766"/>
      <c r="J8" s="1928"/>
      <c r="K8" s="292" t="s">
        <v>18</v>
      </c>
      <c r="L8" s="291">
        <f>'1FComprador'!L8</f>
        <v>1</v>
      </c>
    </row>
    <row r="9" spans="2:14" ht="13" thickBot="1">
      <c r="B9" s="1375" t="str">
        <f>'1FComprador'!B9:D9</f>
        <v>Vendedor 1</v>
      </c>
      <c r="C9" s="1376"/>
      <c r="D9" s="1376"/>
      <c r="E9" s="1375" t="str">
        <f>'3Orçto'!B1</f>
        <v>Vendedor(a) Projetista : Vendedor 1</v>
      </c>
      <c r="F9" s="1376"/>
      <c r="G9" s="1376"/>
      <c r="H9" s="1376"/>
      <c r="I9" s="1376"/>
      <c r="J9" s="1377"/>
      <c r="K9" s="1408" t="str">
        <f>'1FComprador'!Loja</f>
        <v>Local da loja</v>
      </c>
      <c r="L9" s="1409"/>
    </row>
    <row r="10" spans="2:14">
      <c r="B10" s="139"/>
      <c r="L10" s="140"/>
    </row>
    <row r="11" spans="2:14" ht="15.5">
      <c r="B11" s="1929" t="s">
        <v>451</v>
      </c>
      <c r="C11" s="1930"/>
      <c r="D11" s="1930"/>
      <c r="E11" s="1930"/>
      <c r="F11" s="1930"/>
      <c r="G11" s="1930"/>
      <c r="H11" s="1930"/>
      <c r="I11" s="1930"/>
      <c r="J11" s="1930"/>
      <c r="K11" s="1930"/>
      <c r="L11" s="1931"/>
    </row>
    <row r="12" spans="2:14">
      <c r="B12" s="1920" t="s">
        <v>452</v>
      </c>
      <c r="C12" s="1921"/>
      <c r="D12" s="1921"/>
      <c r="E12" s="1921"/>
      <c r="F12" s="1921"/>
      <c r="G12" s="1921"/>
      <c r="H12" s="1921"/>
      <c r="I12" s="1921"/>
      <c r="J12" s="1921"/>
      <c r="K12" s="1921"/>
      <c r="L12" s="1922"/>
    </row>
    <row r="13" spans="2:14">
      <c r="B13" s="1923"/>
      <c r="C13" s="1924"/>
      <c r="D13" s="1924"/>
      <c r="E13" s="1924"/>
      <c r="F13" s="1924"/>
      <c r="G13" s="1924"/>
      <c r="H13" s="1924"/>
      <c r="I13" s="1924"/>
      <c r="J13" s="1924"/>
      <c r="K13" s="1924"/>
      <c r="L13" s="1925"/>
    </row>
    <row r="14" spans="2:14">
      <c r="B14" s="1923"/>
      <c r="C14" s="1924"/>
      <c r="D14" s="1924"/>
      <c r="E14" s="1924"/>
      <c r="F14" s="1924"/>
      <c r="G14" s="1924"/>
      <c r="H14" s="1924"/>
      <c r="I14" s="1924"/>
      <c r="J14" s="1924"/>
      <c r="K14" s="1924"/>
      <c r="L14" s="1925"/>
    </row>
    <row r="15" spans="2:14">
      <c r="B15" s="1923"/>
      <c r="C15" s="1924"/>
      <c r="D15" s="1924"/>
      <c r="E15" s="1924"/>
      <c r="F15" s="1924"/>
      <c r="G15" s="1924"/>
      <c r="H15" s="1924"/>
      <c r="I15" s="1924"/>
      <c r="J15" s="1924"/>
      <c r="K15" s="1924"/>
      <c r="L15" s="1925"/>
    </row>
    <row r="16" spans="2:14">
      <c r="B16" s="1923"/>
      <c r="C16" s="1924"/>
      <c r="D16" s="1924"/>
      <c r="E16" s="1924"/>
      <c r="F16" s="1924"/>
      <c r="G16" s="1924"/>
      <c r="H16" s="1924"/>
      <c r="I16" s="1924"/>
      <c r="J16" s="1924"/>
      <c r="K16" s="1924"/>
      <c r="L16" s="1925"/>
    </row>
    <row r="17" spans="2:12">
      <c r="B17" s="1923"/>
      <c r="C17" s="1924"/>
      <c r="D17" s="1924"/>
      <c r="E17" s="1924"/>
      <c r="F17" s="1924"/>
      <c r="G17" s="1924"/>
      <c r="H17" s="1924"/>
      <c r="I17" s="1924"/>
      <c r="J17" s="1924"/>
      <c r="K17" s="1924"/>
      <c r="L17" s="1925"/>
    </row>
    <row r="18" spans="2:12">
      <c r="B18" s="1923"/>
      <c r="C18" s="1924"/>
      <c r="D18" s="1924"/>
      <c r="E18" s="1924"/>
      <c r="F18" s="1924"/>
      <c r="G18" s="1924"/>
      <c r="H18" s="1924"/>
      <c r="I18" s="1924"/>
      <c r="J18" s="1924"/>
      <c r="K18" s="1924"/>
      <c r="L18" s="1925"/>
    </row>
    <row r="19" spans="2:12">
      <c r="B19" s="1923"/>
      <c r="C19" s="1924"/>
      <c r="D19" s="1924"/>
      <c r="E19" s="1924"/>
      <c r="F19" s="1924"/>
      <c r="G19" s="1924"/>
      <c r="H19" s="1924"/>
      <c r="I19" s="1924"/>
      <c r="J19" s="1924"/>
      <c r="K19" s="1924"/>
      <c r="L19" s="1925"/>
    </row>
    <row r="20" spans="2:12">
      <c r="B20" s="1923"/>
      <c r="C20" s="1924"/>
      <c r="D20" s="1924"/>
      <c r="E20" s="1924"/>
      <c r="F20" s="1924"/>
      <c r="G20" s="1924"/>
      <c r="H20" s="1924"/>
      <c r="I20" s="1924"/>
      <c r="J20" s="1924"/>
      <c r="K20" s="1924"/>
      <c r="L20" s="1925"/>
    </row>
    <row r="21" spans="2:12">
      <c r="B21" s="1923"/>
      <c r="C21" s="1924"/>
      <c r="D21" s="1924"/>
      <c r="E21" s="1924"/>
      <c r="F21" s="1924"/>
      <c r="G21" s="1924"/>
      <c r="H21" s="1924"/>
      <c r="I21" s="1924"/>
      <c r="J21" s="1924"/>
      <c r="K21" s="1924"/>
      <c r="L21" s="1925"/>
    </row>
    <row r="22" spans="2:12">
      <c r="B22" s="1923"/>
      <c r="C22" s="1924"/>
      <c r="D22" s="1924"/>
      <c r="E22" s="1924"/>
      <c r="F22" s="1924"/>
      <c r="G22" s="1924"/>
      <c r="H22" s="1924"/>
      <c r="I22" s="1924"/>
      <c r="J22" s="1924"/>
      <c r="K22" s="1924"/>
      <c r="L22" s="1925"/>
    </row>
    <row r="23" spans="2:12">
      <c r="B23" s="1923"/>
      <c r="C23" s="1924"/>
      <c r="D23" s="1924"/>
      <c r="E23" s="1924"/>
      <c r="F23" s="1924"/>
      <c r="G23" s="1924"/>
      <c r="H23" s="1924"/>
      <c r="I23" s="1924"/>
      <c r="J23" s="1924"/>
      <c r="K23" s="1924"/>
      <c r="L23" s="1925"/>
    </row>
    <row r="24" spans="2:12">
      <c r="B24" s="1923"/>
      <c r="C24" s="1924"/>
      <c r="D24" s="1924"/>
      <c r="E24" s="1924"/>
      <c r="F24" s="1924"/>
      <c r="G24" s="1924"/>
      <c r="H24" s="1924"/>
      <c r="I24" s="1924"/>
      <c r="J24" s="1924"/>
      <c r="K24" s="1924"/>
      <c r="L24" s="1925"/>
    </row>
    <row r="25" spans="2:12">
      <c r="B25" s="1923"/>
      <c r="C25" s="1924"/>
      <c r="D25" s="1924"/>
      <c r="E25" s="1924"/>
      <c r="F25" s="1924"/>
      <c r="G25" s="1924"/>
      <c r="H25" s="1924"/>
      <c r="I25" s="1924"/>
      <c r="J25" s="1924"/>
      <c r="K25" s="1924"/>
      <c r="L25" s="1925"/>
    </row>
    <row r="26" spans="2:12">
      <c r="B26" s="1923"/>
      <c r="C26" s="1924"/>
      <c r="D26" s="1924"/>
      <c r="E26" s="1924"/>
      <c r="F26" s="1924"/>
      <c r="G26" s="1924"/>
      <c r="H26" s="1924"/>
      <c r="I26" s="1924"/>
      <c r="J26" s="1924"/>
      <c r="K26" s="1924"/>
      <c r="L26" s="1925"/>
    </row>
    <row r="27" spans="2:12">
      <c r="B27" s="1923"/>
      <c r="C27" s="1924"/>
      <c r="D27" s="1924"/>
      <c r="E27" s="1924"/>
      <c r="F27" s="1924"/>
      <c r="G27" s="1924"/>
      <c r="H27" s="1924"/>
      <c r="I27" s="1924"/>
      <c r="J27" s="1924"/>
      <c r="K27" s="1924"/>
      <c r="L27" s="1925"/>
    </row>
    <row r="28" spans="2:12">
      <c r="B28" s="1923"/>
      <c r="C28" s="1924"/>
      <c r="D28" s="1924"/>
      <c r="E28" s="1924"/>
      <c r="F28" s="1924"/>
      <c r="G28" s="1924"/>
      <c r="H28" s="1924"/>
      <c r="I28" s="1924"/>
      <c r="J28" s="1924"/>
      <c r="K28" s="1924"/>
      <c r="L28" s="1925"/>
    </row>
    <row r="29" spans="2:12">
      <c r="B29" s="1923"/>
      <c r="C29" s="1924"/>
      <c r="D29" s="1924"/>
      <c r="E29" s="1924"/>
      <c r="F29" s="1924"/>
      <c r="G29" s="1924"/>
      <c r="H29" s="1924"/>
      <c r="I29" s="1924"/>
      <c r="J29" s="1924"/>
      <c r="K29" s="1924"/>
      <c r="L29" s="1925"/>
    </row>
    <row r="30" spans="2:12">
      <c r="B30" s="1923"/>
      <c r="C30" s="1924"/>
      <c r="D30" s="1924"/>
      <c r="E30" s="1924"/>
      <c r="F30" s="1924"/>
      <c r="G30" s="1924"/>
      <c r="H30" s="1924"/>
      <c r="I30" s="1924"/>
      <c r="J30" s="1924"/>
      <c r="K30" s="1924"/>
      <c r="L30" s="1925"/>
    </row>
    <row r="31" spans="2:12">
      <c r="B31" s="1923"/>
      <c r="C31" s="1924"/>
      <c r="D31" s="1924"/>
      <c r="E31" s="1924"/>
      <c r="F31" s="1924"/>
      <c r="G31" s="1924"/>
      <c r="H31" s="1924"/>
      <c r="I31" s="1924"/>
      <c r="J31" s="1924"/>
      <c r="K31" s="1924"/>
      <c r="L31" s="1925"/>
    </row>
    <row r="32" spans="2:12">
      <c r="B32" s="1923"/>
      <c r="C32" s="1924"/>
      <c r="D32" s="1924"/>
      <c r="E32" s="1924"/>
      <c r="F32" s="1924"/>
      <c r="G32" s="1924"/>
      <c r="H32" s="1924"/>
      <c r="I32" s="1924"/>
      <c r="J32" s="1924"/>
      <c r="K32" s="1924"/>
      <c r="L32" s="1925"/>
    </row>
    <row r="33" spans="2:12">
      <c r="B33" s="1923"/>
      <c r="C33" s="1924"/>
      <c r="D33" s="1924"/>
      <c r="E33" s="1924"/>
      <c r="F33" s="1924"/>
      <c r="G33" s="1924"/>
      <c r="H33" s="1924"/>
      <c r="I33" s="1924"/>
      <c r="J33" s="1924"/>
      <c r="K33" s="1924"/>
      <c r="L33" s="1925"/>
    </row>
    <row r="34" spans="2:12">
      <c r="B34" s="1923"/>
      <c r="C34" s="1924"/>
      <c r="D34" s="1924"/>
      <c r="E34" s="1924"/>
      <c r="F34" s="1924"/>
      <c r="G34" s="1924"/>
      <c r="H34" s="1924"/>
      <c r="I34" s="1924"/>
      <c r="J34" s="1924"/>
      <c r="K34" s="1924"/>
      <c r="L34" s="1925"/>
    </row>
    <row r="35" spans="2:12">
      <c r="B35" s="1923"/>
      <c r="C35" s="1924"/>
      <c r="D35" s="1924"/>
      <c r="E35" s="1924"/>
      <c r="F35" s="1924"/>
      <c r="G35" s="1924"/>
      <c r="H35" s="1924"/>
      <c r="I35" s="1924"/>
      <c r="J35" s="1924"/>
      <c r="K35" s="1924"/>
      <c r="L35" s="1925"/>
    </row>
    <row r="36" spans="2:12">
      <c r="B36" s="1923"/>
      <c r="C36" s="1924"/>
      <c r="D36" s="1924"/>
      <c r="E36" s="1924"/>
      <c r="F36" s="1924"/>
      <c r="G36" s="1924"/>
      <c r="H36" s="1924"/>
      <c r="I36" s="1924"/>
      <c r="J36" s="1924"/>
      <c r="K36" s="1924"/>
      <c r="L36" s="1925"/>
    </row>
    <row r="37" spans="2:12">
      <c r="B37" s="1923"/>
      <c r="C37" s="1924"/>
      <c r="D37" s="1924"/>
      <c r="E37" s="1924"/>
      <c r="F37" s="1924"/>
      <c r="G37" s="1924"/>
      <c r="H37" s="1924"/>
      <c r="I37" s="1924"/>
      <c r="J37" s="1924"/>
      <c r="K37" s="1924"/>
      <c r="L37" s="1925"/>
    </row>
    <row r="38" spans="2:12">
      <c r="B38" s="1923"/>
      <c r="C38" s="1924"/>
      <c r="D38" s="1924"/>
      <c r="E38" s="1924"/>
      <c r="F38" s="1924"/>
      <c r="G38" s="1924"/>
      <c r="H38" s="1924"/>
      <c r="I38" s="1924"/>
      <c r="J38" s="1924"/>
      <c r="K38" s="1924"/>
      <c r="L38" s="1925"/>
    </row>
    <row r="39" spans="2:12">
      <c r="B39" s="1923"/>
      <c r="C39" s="1924"/>
      <c r="D39" s="1924"/>
      <c r="E39" s="1924"/>
      <c r="F39" s="1924"/>
      <c r="G39" s="1924"/>
      <c r="H39" s="1924"/>
      <c r="I39" s="1924"/>
      <c r="J39" s="1924"/>
      <c r="K39" s="1924"/>
      <c r="L39" s="1925"/>
    </row>
    <row r="40" spans="2:12">
      <c r="B40" s="1923"/>
      <c r="C40" s="1924"/>
      <c r="D40" s="1924"/>
      <c r="E40" s="1924"/>
      <c r="F40" s="1924"/>
      <c r="G40" s="1924"/>
      <c r="H40" s="1924"/>
      <c r="I40" s="1924"/>
      <c r="J40" s="1924"/>
      <c r="K40" s="1924"/>
      <c r="L40" s="1925"/>
    </row>
    <row r="41" spans="2:12">
      <c r="B41" s="1923"/>
      <c r="C41" s="1924"/>
      <c r="D41" s="1924"/>
      <c r="E41" s="1924"/>
      <c r="F41" s="1924"/>
      <c r="G41" s="1924"/>
      <c r="H41" s="1924"/>
      <c r="I41" s="1924"/>
      <c r="J41" s="1924"/>
      <c r="K41" s="1924"/>
      <c r="L41" s="1925"/>
    </row>
    <row r="42" spans="2:12">
      <c r="B42" s="1923"/>
      <c r="C42" s="1924"/>
      <c r="D42" s="1924"/>
      <c r="E42" s="1924"/>
      <c r="F42" s="1924"/>
      <c r="G42" s="1924"/>
      <c r="H42" s="1924"/>
      <c r="I42" s="1924"/>
      <c r="J42" s="1924"/>
      <c r="K42" s="1924"/>
      <c r="L42" s="1925"/>
    </row>
    <row r="43" spans="2:12">
      <c r="B43" s="1923"/>
      <c r="C43" s="1924"/>
      <c r="D43" s="1924"/>
      <c r="E43" s="1924"/>
      <c r="F43" s="1924"/>
      <c r="G43" s="1924"/>
      <c r="H43" s="1924"/>
      <c r="I43" s="1924"/>
      <c r="J43" s="1924"/>
      <c r="K43" s="1924"/>
      <c r="L43" s="1925"/>
    </row>
    <row r="44" spans="2:12">
      <c r="B44" s="1923"/>
      <c r="C44" s="1924"/>
      <c r="D44" s="1924"/>
      <c r="E44" s="1924"/>
      <c r="F44" s="1924"/>
      <c r="G44" s="1924"/>
      <c r="H44" s="1924"/>
      <c r="I44" s="1924"/>
      <c r="J44" s="1924"/>
      <c r="K44" s="1924"/>
      <c r="L44" s="1925"/>
    </row>
    <row r="45" spans="2:12">
      <c r="B45" s="1923"/>
      <c r="C45" s="1924"/>
      <c r="D45" s="1924"/>
      <c r="E45" s="1924"/>
      <c r="F45" s="1924"/>
      <c r="G45" s="1924"/>
      <c r="H45" s="1924"/>
      <c r="I45" s="1924"/>
      <c r="J45" s="1924"/>
      <c r="K45" s="1924"/>
      <c r="L45" s="1925"/>
    </row>
    <row r="46" spans="2:12">
      <c r="B46" s="1923"/>
      <c r="C46" s="1924"/>
      <c r="D46" s="1924"/>
      <c r="E46" s="1924"/>
      <c r="F46" s="1924"/>
      <c r="G46" s="1924"/>
      <c r="H46" s="1924"/>
      <c r="I46" s="1924"/>
      <c r="J46" s="1924"/>
      <c r="K46" s="1924"/>
      <c r="L46" s="1925"/>
    </row>
    <row r="47" spans="2:12">
      <c r="B47" s="1923"/>
      <c r="C47" s="1924"/>
      <c r="D47" s="1924"/>
      <c r="E47" s="1924"/>
      <c r="F47" s="1924"/>
      <c r="G47" s="1924"/>
      <c r="H47" s="1924"/>
      <c r="I47" s="1924"/>
      <c r="J47" s="1924"/>
      <c r="K47" s="1924"/>
      <c r="L47" s="1925"/>
    </row>
    <row r="48" spans="2:12">
      <c r="B48" s="1923"/>
      <c r="C48" s="1924"/>
      <c r="D48" s="1924"/>
      <c r="E48" s="1924"/>
      <c r="F48" s="1924"/>
      <c r="G48" s="1924"/>
      <c r="H48" s="1924"/>
      <c r="I48" s="1924"/>
      <c r="J48" s="1924"/>
      <c r="K48" s="1924"/>
      <c r="L48" s="1925"/>
    </row>
    <row r="49" spans="2:12">
      <c r="B49" s="1923"/>
      <c r="C49" s="1924"/>
      <c r="D49" s="1924"/>
      <c r="E49" s="1924"/>
      <c r="F49" s="1924"/>
      <c r="G49" s="1924"/>
      <c r="H49" s="1924"/>
      <c r="I49" s="1924"/>
      <c r="J49" s="1924"/>
      <c r="K49" s="1924"/>
      <c r="L49" s="1925"/>
    </row>
    <row r="50" spans="2:12">
      <c r="B50" s="1923"/>
      <c r="C50" s="1924"/>
      <c r="D50" s="1924"/>
      <c r="E50" s="1924"/>
      <c r="F50" s="1924"/>
      <c r="G50" s="1924"/>
      <c r="H50" s="1924"/>
      <c r="I50" s="1924"/>
      <c r="J50" s="1924"/>
      <c r="K50" s="1924"/>
      <c r="L50" s="1925"/>
    </row>
    <row r="51" spans="2:12">
      <c r="B51" s="1923"/>
      <c r="C51" s="1924"/>
      <c r="D51" s="1924"/>
      <c r="E51" s="1924"/>
      <c r="F51" s="1924"/>
      <c r="G51" s="1924"/>
      <c r="H51" s="1924"/>
      <c r="I51" s="1924"/>
      <c r="J51" s="1924"/>
      <c r="K51" s="1924"/>
      <c r="L51" s="1925"/>
    </row>
    <row r="52" spans="2:12">
      <c r="B52" s="1923"/>
      <c r="C52" s="1924"/>
      <c r="D52" s="1924"/>
      <c r="E52" s="1924"/>
      <c r="F52" s="1924"/>
      <c r="G52" s="1924"/>
      <c r="H52" s="1924"/>
      <c r="I52" s="1924"/>
      <c r="J52" s="1924"/>
      <c r="K52" s="1924"/>
      <c r="L52" s="1925"/>
    </row>
    <row r="53" spans="2:12">
      <c r="B53" s="1923"/>
      <c r="C53" s="1924"/>
      <c r="D53" s="1924"/>
      <c r="E53" s="1924"/>
      <c r="F53" s="1924"/>
      <c r="G53" s="1924"/>
      <c r="H53" s="1924"/>
      <c r="I53" s="1924"/>
      <c r="J53" s="1924"/>
      <c r="K53" s="1924"/>
      <c r="L53" s="1925"/>
    </row>
    <row r="54" spans="2:12">
      <c r="B54" s="1923"/>
      <c r="C54" s="1924"/>
      <c r="D54" s="1924"/>
      <c r="E54" s="1924"/>
      <c r="F54" s="1924"/>
      <c r="G54" s="1924"/>
      <c r="H54" s="1924"/>
      <c r="I54" s="1924"/>
      <c r="J54" s="1924"/>
      <c r="K54" s="1924"/>
      <c r="L54" s="1925"/>
    </row>
    <row r="55" spans="2:12">
      <c r="B55" s="1923"/>
      <c r="C55" s="1924"/>
      <c r="D55" s="1924"/>
      <c r="E55" s="1924"/>
      <c r="F55" s="1924"/>
      <c r="G55" s="1924"/>
      <c r="H55" s="1924"/>
      <c r="I55" s="1924"/>
      <c r="J55" s="1924"/>
      <c r="K55" s="1924"/>
      <c r="L55" s="1925"/>
    </row>
    <row r="56" spans="2:12">
      <c r="B56" s="1923"/>
      <c r="C56" s="1924"/>
      <c r="D56" s="1924"/>
      <c r="E56" s="1924"/>
      <c r="F56" s="1924"/>
      <c r="G56" s="1924"/>
      <c r="H56" s="1924"/>
      <c r="I56" s="1924"/>
      <c r="J56" s="1924"/>
      <c r="K56" s="1924"/>
      <c r="L56" s="1925"/>
    </row>
    <row r="57" spans="2:12">
      <c r="B57" s="1923"/>
      <c r="C57" s="1924"/>
      <c r="D57" s="1924"/>
      <c r="E57" s="1924"/>
      <c r="F57" s="1924"/>
      <c r="G57" s="1924"/>
      <c r="H57" s="1924"/>
      <c r="I57" s="1924"/>
      <c r="J57" s="1924"/>
      <c r="K57" s="1924"/>
      <c r="L57" s="1925"/>
    </row>
    <row r="58" spans="2:12">
      <c r="B58" s="1923"/>
      <c r="C58" s="1924"/>
      <c r="D58" s="1924"/>
      <c r="E58" s="1924"/>
      <c r="F58" s="1924"/>
      <c r="G58" s="1924"/>
      <c r="H58" s="1924"/>
      <c r="I58" s="1924"/>
      <c r="J58" s="1924"/>
      <c r="K58" s="1924"/>
      <c r="L58" s="1925"/>
    </row>
    <row r="59" spans="2:12">
      <c r="B59" s="1923"/>
      <c r="C59" s="1924"/>
      <c r="D59" s="1924"/>
      <c r="E59" s="1924"/>
      <c r="F59" s="1924"/>
      <c r="G59" s="1924"/>
      <c r="H59" s="1924"/>
      <c r="I59" s="1924"/>
      <c r="J59" s="1924"/>
      <c r="K59" s="1924"/>
      <c r="L59" s="1925"/>
    </row>
    <row r="60" spans="2:12">
      <c r="B60" s="1923"/>
      <c r="C60" s="1924"/>
      <c r="D60" s="1924"/>
      <c r="E60" s="1924"/>
      <c r="F60" s="1924"/>
      <c r="G60" s="1924"/>
      <c r="H60" s="1924"/>
      <c r="I60" s="1924"/>
      <c r="J60" s="1924"/>
      <c r="K60" s="1924"/>
      <c r="L60" s="1925"/>
    </row>
    <row r="61" spans="2:12" ht="13" thickBot="1">
      <c r="B61" s="1932"/>
      <c r="C61" s="1933"/>
      <c r="D61" s="1933"/>
      <c r="E61" s="1933"/>
      <c r="F61" s="1933"/>
      <c r="G61" s="1933"/>
      <c r="H61" s="1933"/>
      <c r="I61" s="1933"/>
      <c r="J61" s="1933"/>
      <c r="K61" s="1933"/>
      <c r="L61" s="1934"/>
    </row>
    <row r="62" spans="2:12">
      <c r="B62" s="117" t="s">
        <v>453</v>
      </c>
      <c r="D62" s="342"/>
      <c r="E62" s="342"/>
      <c r="F62" s="342"/>
      <c r="G62" s="116" t="s">
        <v>454</v>
      </c>
      <c r="H62" s="1662" t="str">
        <f>'1FComprador'!$H$64</f>
        <v xml:space="preserve"> Sistema ByDesigner Desenvolvido Neri (21) 97014-2420</v>
      </c>
      <c r="I62" s="1662"/>
      <c r="J62" s="1662"/>
      <c r="K62" s="1662"/>
      <c r="L62" s="1662"/>
    </row>
    <row r="64" spans="2:12" ht="13" thickBot="1"/>
    <row r="65" spans="2:14" ht="16" thickBot="1">
      <c r="B65" s="1394" t="s">
        <v>450</v>
      </c>
      <c r="C65" s="1395"/>
      <c r="D65" s="1395"/>
      <c r="E65" s="1395"/>
      <c r="F65" s="1395"/>
      <c r="G65" s="1395"/>
      <c r="H65" s="1395"/>
      <c r="I65" s="1395"/>
      <c r="J65" s="1395"/>
      <c r="K65" s="1935" t="s">
        <v>415</v>
      </c>
      <c r="L65" s="1936"/>
    </row>
    <row r="66" spans="2:14" ht="13">
      <c r="B66" s="1397" t="s">
        <v>124</v>
      </c>
      <c r="C66" s="1398"/>
      <c r="D66" s="1398"/>
      <c r="E66" s="1400" t="str">
        <f t="shared" ref="E66:E72" si="0">E3</f>
        <v>Razão Social da Loja</v>
      </c>
      <c r="F66" s="1401"/>
      <c r="G66" s="1401"/>
      <c r="H66" s="1401"/>
      <c r="I66" s="1401"/>
      <c r="J66" s="1402"/>
      <c r="K66" s="1816"/>
      <c r="L66" s="1399"/>
    </row>
    <row r="67" spans="2:14">
      <c r="B67" s="1403" t="s">
        <v>125</v>
      </c>
      <c r="C67" s="1404"/>
      <c r="D67" s="1404"/>
      <c r="E67" s="1765" t="str">
        <f t="shared" si="0"/>
        <v>Nome Fantasia Loja</v>
      </c>
      <c r="F67" s="1766"/>
      <c r="G67" s="1766"/>
      <c r="H67" s="1766"/>
      <c r="I67" s="1766"/>
      <c r="J67" s="1928"/>
      <c r="K67" s="1412" t="s">
        <v>126</v>
      </c>
      <c r="L67" s="1413"/>
      <c r="N67" s="117"/>
    </row>
    <row r="68" spans="2:14">
      <c r="B68" s="1421" t="s">
        <v>127</v>
      </c>
      <c r="C68" s="1404"/>
      <c r="D68" s="1404"/>
      <c r="E68" s="1410" t="str">
        <f t="shared" si="0"/>
        <v>CNPJ da Loja</v>
      </c>
      <c r="F68" s="1411"/>
      <c r="G68" s="1411"/>
      <c r="H68" s="1417" t="str">
        <f>H5</f>
        <v>Inscrição da loja</v>
      </c>
      <c r="I68" s="1417"/>
      <c r="J68" s="1418"/>
      <c r="K68" s="1422" t="str">
        <f>K5</f>
        <v>DG-0625-01</v>
      </c>
      <c r="L68" s="1405"/>
    </row>
    <row r="69" spans="2:14" ht="13">
      <c r="B69" s="1403" t="s">
        <v>128</v>
      </c>
      <c r="C69" s="1404"/>
      <c r="D69" s="1404"/>
      <c r="E69" s="1414" t="str">
        <f t="shared" si="0"/>
        <v>Endereço da Loja</v>
      </c>
      <c r="F69" s="1415"/>
      <c r="G69" s="1415"/>
      <c r="H69" s="1415"/>
      <c r="I69" s="1415"/>
      <c r="J69" s="1416"/>
      <c r="K69" s="1406" t="s">
        <v>129</v>
      </c>
      <c r="L69" s="1407"/>
    </row>
    <row r="70" spans="2:14">
      <c r="B70" s="1421" t="s">
        <v>130</v>
      </c>
      <c r="C70" s="1404"/>
      <c r="D70" s="1404"/>
      <c r="E70" s="1421" t="str">
        <f>'1FComprador'!E7:G7</f>
        <v>Bairro da loja</v>
      </c>
      <c r="F70" s="1422"/>
      <c r="G70" s="1422"/>
      <c r="H70" s="1422" t="str">
        <f>'1FComprador'!H7:J7</f>
        <v>Fone</v>
      </c>
      <c r="I70" s="1422"/>
      <c r="J70" s="1423"/>
      <c r="K70" s="1821">
        <f ca="1">K7</f>
        <v>46153</v>
      </c>
      <c r="L70" s="1822"/>
    </row>
    <row r="71" spans="2:14">
      <c r="B71" s="1403" t="s">
        <v>131</v>
      </c>
      <c r="C71" s="1404"/>
      <c r="D71" s="1404"/>
      <c r="E71" s="1765" t="str">
        <f>E8</f>
        <v>E-mail da Loja</v>
      </c>
      <c r="F71" s="1766"/>
      <c r="G71" s="1766"/>
      <c r="H71" s="1766"/>
      <c r="I71" s="1766"/>
      <c r="J71" s="1928"/>
      <c r="K71" s="292" t="s">
        <v>18</v>
      </c>
      <c r="L71" s="291">
        <f>'1FComprador'!L8</f>
        <v>1</v>
      </c>
    </row>
    <row r="72" spans="2:14" ht="13" thickBot="1">
      <c r="B72" s="1375" t="str">
        <f>'1FComprador'!B9:D9</f>
        <v>Vendedor 1</v>
      </c>
      <c r="C72" s="1376"/>
      <c r="D72" s="1376"/>
      <c r="E72" s="1375" t="str">
        <f t="shared" si="0"/>
        <v>Vendedor(a) Projetista : Vendedor 1</v>
      </c>
      <c r="F72" s="1376"/>
      <c r="G72" s="1376"/>
      <c r="H72" s="1376"/>
      <c r="I72" s="1376"/>
      <c r="J72" s="1377"/>
      <c r="K72" s="1408" t="str">
        <f>'1FComprador'!Loja</f>
        <v>Local da loja</v>
      </c>
      <c r="L72" s="1409"/>
    </row>
    <row r="73" spans="2:14">
      <c r="B73" s="1920" t="s">
        <v>455</v>
      </c>
      <c r="C73" s="1921"/>
      <c r="D73" s="1921"/>
      <c r="E73" s="1921"/>
      <c r="F73" s="1921"/>
      <c r="G73" s="1921"/>
      <c r="H73" s="1921"/>
      <c r="I73" s="1921"/>
      <c r="J73" s="1921"/>
      <c r="K73" s="1921"/>
      <c r="L73" s="1922"/>
    </row>
    <row r="74" spans="2:14">
      <c r="B74" s="1923"/>
      <c r="C74" s="1924"/>
      <c r="D74" s="1924"/>
      <c r="E74" s="1924"/>
      <c r="F74" s="1924"/>
      <c r="G74" s="1924"/>
      <c r="H74" s="1924"/>
      <c r="I74" s="1924"/>
      <c r="J74" s="1924"/>
      <c r="K74" s="1924"/>
      <c r="L74" s="1925"/>
    </row>
    <row r="75" spans="2:14">
      <c r="B75" s="1923"/>
      <c r="C75" s="1924"/>
      <c r="D75" s="1924"/>
      <c r="E75" s="1924"/>
      <c r="F75" s="1924"/>
      <c r="G75" s="1924"/>
      <c r="H75" s="1924"/>
      <c r="I75" s="1924"/>
      <c r="J75" s="1924"/>
      <c r="K75" s="1924"/>
      <c r="L75" s="1925"/>
    </row>
    <row r="76" spans="2:14">
      <c r="B76" s="1923"/>
      <c r="C76" s="1924"/>
      <c r="D76" s="1924"/>
      <c r="E76" s="1924"/>
      <c r="F76" s="1924"/>
      <c r="G76" s="1924"/>
      <c r="H76" s="1924"/>
      <c r="I76" s="1924"/>
      <c r="J76" s="1924"/>
      <c r="K76" s="1924"/>
      <c r="L76" s="1925"/>
    </row>
    <row r="77" spans="2:14">
      <c r="B77" s="1923"/>
      <c r="C77" s="1924"/>
      <c r="D77" s="1924"/>
      <c r="E77" s="1924"/>
      <c r="F77" s="1924"/>
      <c r="G77" s="1924"/>
      <c r="H77" s="1924"/>
      <c r="I77" s="1924"/>
      <c r="J77" s="1924"/>
      <c r="K77" s="1924"/>
      <c r="L77" s="1925"/>
    </row>
    <row r="78" spans="2:14">
      <c r="B78" s="1923"/>
      <c r="C78" s="1924"/>
      <c r="D78" s="1924"/>
      <c r="E78" s="1924"/>
      <c r="F78" s="1924"/>
      <c r="G78" s="1924"/>
      <c r="H78" s="1924"/>
      <c r="I78" s="1924"/>
      <c r="J78" s="1924"/>
      <c r="K78" s="1924"/>
      <c r="L78" s="1925"/>
    </row>
    <row r="79" spans="2:14">
      <c r="B79" s="1923"/>
      <c r="C79" s="1924"/>
      <c r="D79" s="1924"/>
      <c r="E79" s="1924"/>
      <c r="F79" s="1924"/>
      <c r="G79" s="1924"/>
      <c r="H79" s="1924"/>
      <c r="I79" s="1924"/>
      <c r="J79" s="1924"/>
      <c r="K79" s="1924"/>
      <c r="L79" s="1925"/>
    </row>
    <row r="80" spans="2:14">
      <c r="B80" s="1923"/>
      <c r="C80" s="1924"/>
      <c r="D80" s="1924"/>
      <c r="E80" s="1924"/>
      <c r="F80" s="1924"/>
      <c r="G80" s="1924"/>
      <c r="H80" s="1924"/>
      <c r="I80" s="1924"/>
      <c r="J80" s="1924"/>
      <c r="K80" s="1924"/>
      <c r="L80" s="1925"/>
    </row>
    <row r="81" spans="2:12">
      <c r="B81" s="1923"/>
      <c r="C81" s="1924"/>
      <c r="D81" s="1924"/>
      <c r="E81" s="1924"/>
      <c r="F81" s="1924"/>
      <c r="G81" s="1924"/>
      <c r="H81" s="1924"/>
      <c r="I81" s="1924"/>
      <c r="J81" s="1924"/>
      <c r="K81" s="1924"/>
      <c r="L81" s="1925"/>
    </row>
    <row r="82" spans="2:12">
      <c r="B82" s="1923"/>
      <c r="C82" s="1924"/>
      <c r="D82" s="1924"/>
      <c r="E82" s="1924"/>
      <c r="F82" s="1924"/>
      <c r="G82" s="1924"/>
      <c r="H82" s="1924"/>
      <c r="I82" s="1924"/>
      <c r="J82" s="1924"/>
      <c r="K82" s="1924"/>
      <c r="L82" s="1925"/>
    </row>
    <row r="83" spans="2:12">
      <c r="B83" s="1923"/>
      <c r="C83" s="1924"/>
      <c r="D83" s="1924"/>
      <c r="E83" s="1924"/>
      <c r="F83" s="1924"/>
      <c r="G83" s="1924"/>
      <c r="H83" s="1924"/>
      <c r="I83" s="1924"/>
      <c r="J83" s="1924"/>
      <c r="K83" s="1924"/>
      <c r="L83" s="1925"/>
    </row>
    <row r="84" spans="2:12">
      <c r="B84" s="1923"/>
      <c r="C84" s="1924"/>
      <c r="D84" s="1924"/>
      <c r="E84" s="1924"/>
      <c r="F84" s="1924"/>
      <c r="G84" s="1924"/>
      <c r="H84" s="1924"/>
      <c r="I84" s="1924"/>
      <c r="J84" s="1924"/>
      <c r="K84" s="1924"/>
      <c r="L84" s="1925"/>
    </row>
    <row r="85" spans="2:12">
      <c r="B85" s="1923"/>
      <c r="C85" s="1924"/>
      <c r="D85" s="1924"/>
      <c r="E85" s="1924"/>
      <c r="F85" s="1924"/>
      <c r="G85" s="1924"/>
      <c r="H85" s="1924"/>
      <c r="I85" s="1924"/>
      <c r="J85" s="1924"/>
      <c r="K85" s="1924"/>
      <c r="L85" s="1925"/>
    </row>
    <row r="86" spans="2:12">
      <c r="B86" s="1923"/>
      <c r="C86" s="1924"/>
      <c r="D86" s="1924"/>
      <c r="E86" s="1924"/>
      <c r="F86" s="1924"/>
      <c r="G86" s="1924"/>
      <c r="H86" s="1924"/>
      <c r="I86" s="1924"/>
      <c r="J86" s="1924"/>
      <c r="K86" s="1924"/>
      <c r="L86" s="1925"/>
    </row>
    <row r="87" spans="2:12">
      <c r="B87" s="1923"/>
      <c r="C87" s="1924"/>
      <c r="D87" s="1924"/>
      <c r="E87" s="1924"/>
      <c r="F87" s="1924"/>
      <c r="G87" s="1924"/>
      <c r="H87" s="1924"/>
      <c r="I87" s="1924"/>
      <c r="J87" s="1924"/>
      <c r="K87" s="1924"/>
      <c r="L87" s="1925"/>
    </row>
    <row r="88" spans="2:12">
      <c r="B88" s="1923"/>
      <c r="C88" s="1924"/>
      <c r="D88" s="1924"/>
      <c r="E88" s="1924"/>
      <c r="F88" s="1924"/>
      <c r="G88" s="1924"/>
      <c r="H88" s="1924"/>
      <c r="I88" s="1924"/>
      <c r="J88" s="1924"/>
      <c r="K88" s="1924"/>
      <c r="L88" s="1925"/>
    </row>
    <row r="89" spans="2:12">
      <c r="B89" s="1923"/>
      <c r="C89" s="1924"/>
      <c r="D89" s="1924"/>
      <c r="E89" s="1924"/>
      <c r="F89" s="1924"/>
      <c r="G89" s="1924"/>
      <c r="H89" s="1924"/>
      <c r="I89" s="1924"/>
      <c r="J89" s="1924"/>
      <c r="K89" s="1924"/>
      <c r="L89" s="1925"/>
    </row>
    <row r="90" spans="2:12">
      <c r="B90" s="1923"/>
      <c r="C90" s="1924"/>
      <c r="D90" s="1924"/>
      <c r="E90" s="1924"/>
      <c r="F90" s="1924"/>
      <c r="G90" s="1924"/>
      <c r="H90" s="1924"/>
      <c r="I90" s="1924"/>
      <c r="J90" s="1924"/>
      <c r="K90" s="1924"/>
      <c r="L90" s="1925"/>
    </row>
    <row r="91" spans="2:12">
      <c r="B91" s="1923"/>
      <c r="C91" s="1924"/>
      <c r="D91" s="1924"/>
      <c r="E91" s="1924"/>
      <c r="F91" s="1924"/>
      <c r="G91" s="1924"/>
      <c r="H91" s="1924"/>
      <c r="I91" s="1924"/>
      <c r="J91" s="1924"/>
      <c r="K91" s="1924"/>
      <c r="L91" s="1925"/>
    </row>
    <row r="92" spans="2:12">
      <c r="B92" s="1923"/>
      <c r="C92" s="1924"/>
      <c r="D92" s="1924"/>
      <c r="E92" s="1924"/>
      <c r="F92" s="1924"/>
      <c r="G92" s="1924"/>
      <c r="H92" s="1924"/>
      <c r="I92" s="1924"/>
      <c r="J92" s="1924"/>
      <c r="K92" s="1924"/>
      <c r="L92" s="1925"/>
    </row>
    <row r="93" spans="2:12">
      <c r="B93" s="1923"/>
      <c r="C93" s="1924"/>
      <c r="D93" s="1924"/>
      <c r="E93" s="1924"/>
      <c r="F93" s="1924"/>
      <c r="G93" s="1924"/>
      <c r="H93" s="1924"/>
      <c r="I93" s="1924"/>
      <c r="J93" s="1924"/>
      <c r="K93" s="1924"/>
      <c r="L93" s="1925"/>
    </row>
    <row r="94" spans="2:12">
      <c r="B94" s="1923"/>
      <c r="C94" s="1924"/>
      <c r="D94" s="1924"/>
      <c r="E94" s="1924"/>
      <c r="F94" s="1924"/>
      <c r="G94" s="1924"/>
      <c r="H94" s="1924"/>
      <c r="I94" s="1924"/>
      <c r="J94" s="1924"/>
      <c r="K94" s="1924"/>
      <c r="L94" s="1925"/>
    </row>
    <row r="95" spans="2:12">
      <c r="B95" s="1923"/>
      <c r="C95" s="1924"/>
      <c r="D95" s="1924"/>
      <c r="E95" s="1924"/>
      <c r="F95" s="1924"/>
      <c r="G95" s="1924"/>
      <c r="H95" s="1924"/>
      <c r="I95" s="1924"/>
      <c r="J95" s="1924"/>
      <c r="K95" s="1924"/>
      <c r="L95" s="1925"/>
    </row>
    <row r="96" spans="2:12">
      <c r="B96" s="1923"/>
      <c r="C96" s="1924"/>
      <c r="D96" s="1924"/>
      <c r="E96" s="1924"/>
      <c r="F96" s="1924"/>
      <c r="G96" s="1924"/>
      <c r="H96" s="1924"/>
      <c r="I96" s="1924"/>
      <c r="J96" s="1924"/>
      <c r="K96" s="1924"/>
      <c r="L96" s="1925"/>
    </row>
    <row r="97" spans="2:12">
      <c r="B97" s="1923"/>
      <c r="C97" s="1924"/>
      <c r="D97" s="1924"/>
      <c r="E97" s="1924"/>
      <c r="F97" s="1924"/>
      <c r="G97" s="1924"/>
      <c r="H97" s="1924"/>
      <c r="I97" s="1924"/>
      <c r="J97" s="1924"/>
      <c r="K97" s="1924"/>
      <c r="L97" s="1925"/>
    </row>
    <row r="98" spans="2:12">
      <c r="B98" s="1923"/>
      <c r="C98" s="1924"/>
      <c r="D98" s="1924"/>
      <c r="E98" s="1924"/>
      <c r="F98" s="1924"/>
      <c r="G98" s="1924"/>
      <c r="H98" s="1924"/>
      <c r="I98" s="1924"/>
      <c r="J98" s="1924"/>
      <c r="K98" s="1924"/>
      <c r="L98" s="1925"/>
    </row>
    <row r="99" spans="2:12">
      <c r="B99" s="1923"/>
      <c r="C99" s="1924"/>
      <c r="D99" s="1924"/>
      <c r="E99" s="1924"/>
      <c r="F99" s="1924"/>
      <c r="G99" s="1924"/>
      <c r="H99" s="1924"/>
      <c r="I99" s="1924"/>
      <c r="J99" s="1924"/>
      <c r="K99" s="1924"/>
      <c r="L99" s="1925"/>
    </row>
    <row r="100" spans="2:12">
      <c r="B100" s="1923"/>
      <c r="C100" s="1924"/>
      <c r="D100" s="1924"/>
      <c r="E100" s="1924"/>
      <c r="F100" s="1924"/>
      <c r="G100" s="1924"/>
      <c r="H100" s="1924"/>
      <c r="I100" s="1924"/>
      <c r="J100" s="1924"/>
      <c r="K100" s="1924"/>
      <c r="L100" s="1925"/>
    </row>
    <row r="101" spans="2:12">
      <c r="B101" s="1923"/>
      <c r="C101" s="1924"/>
      <c r="D101" s="1924"/>
      <c r="E101" s="1924"/>
      <c r="F101" s="1924"/>
      <c r="G101" s="1924"/>
      <c r="H101" s="1924"/>
      <c r="I101" s="1924"/>
      <c r="J101" s="1924"/>
      <c r="K101" s="1924"/>
      <c r="L101" s="1925"/>
    </row>
    <row r="102" spans="2:12">
      <c r="B102" s="1923"/>
      <c r="C102" s="1924"/>
      <c r="D102" s="1924"/>
      <c r="E102" s="1924"/>
      <c r="F102" s="1924"/>
      <c r="G102" s="1924"/>
      <c r="H102" s="1924"/>
      <c r="I102" s="1924"/>
      <c r="J102" s="1924"/>
      <c r="K102" s="1924"/>
      <c r="L102" s="1925"/>
    </row>
    <row r="103" spans="2:12">
      <c r="B103" s="1923"/>
      <c r="C103" s="1924"/>
      <c r="D103" s="1924"/>
      <c r="E103" s="1924"/>
      <c r="F103" s="1924"/>
      <c r="G103" s="1924"/>
      <c r="H103" s="1924"/>
      <c r="I103" s="1924"/>
      <c r="J103" s="1924"/>
      <c r="K103" s="1924"/>
      <c r="L103" s="1925"/>
    </row>
    <row r="104" spans="2:12">
      <c r="B104" s="1923"/>
      <c r="C104" s="1924"/>
      <c r="D104" s="1924"/>
      <c r="E104" s="1924"/>
      <c r="F104" s="1924"/>
      <c r="G104" s="1924"/>
      <c r="H104" s="1924"/>
      <c r="I104" s="1924"/>
      <c r="J104" s="1924"/>
      <c r="K104" s="1924"/>
      <c r="L104" s="1925"/>
    </row>
    <row r="105" spans="2:12">
      <c r="B105" s="1923"/>
      <c r="C105" s="1924"/>
      <c r="D105" s="1924"/>
      <c r="E105" s="1924"/>
      <c r="F105" s="1924"/>
      <c r="G105" s="1924"/>
      <c r="H105" s="1924"/>
      <c r="I105" s="1924"/>
      <c r="J105" s="1924"/>
      <c r="K105" s="1924"/>
      <c r="L105" s="1925"/>
    </row>
    <row r="106" spans="2:12">
      <c r="B106" s="1923"/>
      <c r="C106" s="1924"/>
      <c r="D106" s="1924"/>
      <c r="E106" s="1924"/>
      <c r="F106" s="1924"/>
      <c r="G106" s="1924"/>
      <c r="H106" s="1924"/>
      <c r="I106" s="1924"/>
      <c r="J106" s="1924"/>
      <c r="K106" s="1924"/>
      <c r="L106" s="1925"/>
    </row>
    <row r="107" spans="2:12">
      <c r="B107" s="1923"/>
      <c r="C107" s="1924"/>
      <c r="D107" s="1924"/>
      <c r="E107" s="1924"/>
      <c r="F107" s="1924"/>
      <c r="G107" s="1924"/>
      <c r="H107" s="1924"/>
      <c r="I107" s="1924"/>
      <c r="J107" s="1924"/>
      <c r="K107" s="1924"/>
      <c r="L107" s="1925"/>
    </row>
    <row r="108" spans="2:12">
      <c r="B108" s="1923"/>
      <c r="C108" s="1924"/>
      <c r="D108" s="1924"/>
      <c r="E108" s="1924"/>
      <c r="F108" s="1924"/>
      <c r="G108" s="1924"/>
      <c r="H108" s="1924"/>
      <c r="I108" s="1924"/>
      <c r="J108" s="1924"/>
      <c r="K108" s="1924"/>
      <c r="L108" s="1925"/>
    </row>
    <row r="109" spans="2:12">
      <c r="B109" s="1923"/>
      <c r="C109" s="1924"/>
      <c r="D109" s="1924"/>
      <c r="E109" s="1924"/>
      <c r="F109" s="1924"/>
      <c r="G109" s="1924"/>
      <c r="H109" s="1924"/>
      <c r="I109" s="1924"/>
      <c r="J109" s="1924"/>
      <c r="K109" s="1924"/>
      <c r="L109" s="1925"/>
    </row>
    <row r="110" spans="2:12">
      <c r="B110" s="1923"/>
      <c r="C110" s="1924"/>
      <c r="D110" s="1924"/>
      <c r="E110" s="1924"/>
      <c r="F110" s="1924"/>
      <c r="G110" s="1924"/>
      <c r="H110" s="1924"/>
      <c r="I110" s="1924"/>
      <c r="J110" s="1924"/>
      <c r="K110" s="1924"/>
      <c r="L110" s="1925"/>
    </row>
    <row r="111" spans="2:12">
      <c r="B111" s="1923"/>
      <c r="C111" s="1924"/>
      <c r="D111" s="1924"/>
      <c r="E111" s="1924"/>
      <c r="F111" s="1924"/>
      <c r="G111" s="1924"/>
      <c r="H111" s="1924"/>
      <c r="I111" s="1924"/>
      <c r="J111" s="1924"/>
      <c r="K111" s="1924"/>
      <c r="L111" s="1925"/>
    </row>
    <row r="112" spans="2:12">
      <c r="B112" s="1923"/>
      <c r="C112" s="1924"/>
      <c r="D112" s="1924"/>
      <c r="E112" s="1924"/>
      <c r="F112" s="1924"/>
      <c r="G112" s="1924"/>
      <c r="H112" s="1924"/>
      <c r="I112" s="1924"/>
      <c r="J112" s="1924"/>
      <c r="K112" s="1924"/>
      <c r="L112" s="1925"/>
    </row>
    <row r="113" spans="2:12">
      <c r="B113" s="1923"/>
      <c r="C113" s="1924"/>
      <c r="D113" s="1924"/>
      <c r="E113" s="1924"/>
      <c r="F113" s="1924"/>
      <c r="G113" s="1924"/>
      <c r="H113" s="1924"/>
      <c r="I113" s="1924"/>
      <c r="J113" s="1924"/>
      <c r="K113" s="1924"/>
      <c r="L113" s="1925"/>
    </row>
    <row r="114" spans="2:12">
      <c r="B114" s="1923"/>
      <c r="C114" s="1924"/>
      <c r="D114" s="1924"/>
      <c r="E114" s="1924"/>
      <c r="F114" s="1924"/>
      <c r="G114" s="1924"/>
      <c r="H114" s="1924"/>
      <c r="I114" s="1924"/>
      <c r="J114" s="1924"/>
      <c r="K114" s="1924"/>
      <c r="L114" s="1925"/>
    </row>
    <row r="115" spans="2:12" ht="9" customHeight="1">
      <c r="B115" s="1923"/>
      <c r="C115" s="1924"/>
      <c r="D115" s="1924"/>
      <c r="E115" s="1924"/>
      <c r="F115" s="1924"/>
      <c r="G115" s="1924"/>
      <c r="H115" s="1924"/>
      <c r="I115" s="1924"/>
      <c r="J115" s="1924"/>
      <c r="K115" s="1924"/>
      <c r="L115" s="1925"/>
    </row>
    <row r="116" spans="2:12">
      <c r="B116" s="1923"/>
      <c r="C116" s="1924"/>
      <c r="D116" s="1924"/>
      <c r="E116" s="1924"/>
      <c r="F116" s="1924"/>
      <c r="G116" s="1924"/>
      <c r="H116" s="1924"/>
      <c r="I116" s="1924"/>
      <c r="J116" s="1924"/>
      <c r="K116" s="1924"/>
      <c r="L116" s="1925"/>
    </row>
    <row r="117" spans="2:12">
      <c r="B117" s="1923"/>
      <c r="C117" s="1924"/>
      <c r="D117" s="1924"/>
      <c r="E117" s="1924"/>
      <c r="F117" s="1924"/>
      <c r="G117" s="1924"/>
      <c r="H117" s="1924"/>
      <c r="I117" s="1924"/>
      <c r="J117" s="1924"/>
      <c r="K117" s="1924"/>
      <c r="L117" s="1925"/>
    </row>
    <row r="118" spans="2:12">
      <c r="B118" s="1923"/>
      <c r="C118" s="1924"/>
      <c r="D118" s="1924"/>
      <c r="E118" s="1924"/>
      <c r="F118" s="1924"/>
      <c r="G118" s="1924"/>
      <c r="H118" s="1924"/>
      <c r="I118" s="1924"/>
      <c r="J118" s="1924"/>
      <c r="K118" s="1924"/>
      <c r="L118" s="1925"/>
    </row>
    <row r="119" spans="2:12">
      <c r="B119" s="1923"/>
      <c r="C119" s="1924"/>
      <c r="D119" s="1924"/>
      <c r="E119" s="1924"/>
      <c r="F119" s="1924"/>
      <c r="G119" s="1924"/>
      <c r="H119" s="1924"/>
      <c r="I119" s="1924"/>
      <c r="J119" s="1924"/>
      <c r="K119" s="1924"/>
      <c r="L119" s="1925"/>
    </row>
    <row r="120" spans="2:12" ht="16.5" customHeight="1">
      <c r="B120" s="1923"/>
      <c r="C120" s="1924"/>
      <c r="D120" s="1924"/>
      <c r="E120" s="1924"/>
      <c r="F120" s="1924"/>
      <c r="G120" s="1924"/>
      <c r="H120" s="1924"/>
      <c r="I120" s="1924"/>
      <c r="J120" s="1924"/>
      <c r="K120" s="1924"/>
      <c r="L120" s="1925"/>
    </row>
    <row r="121" spans="2:12">
      <c r="B121" s="139"/>
      <c r="L121" s="140"/>
    </row>
    <row r="122" spans="2:12">
      <c r="B122" s="139"/>
      <c r="H122" s="1926" t="str">
        <f ca="1">'4Contrato Compra'!I413</f>
        <v xml:space="preserve">Cidade da Loja, 11 de maio de 2026. </v>
      </c>
      <c r="I122" s="1926"/>
      <c r="J122" s="1926"/>
      <c r="K122" s="1926"/>
      <c r="L122" s="1927"/>
    </row>
    <row r="123" spans="2:12">
      <c r="B123" s="139"/>
      <c r="H123" s="700"/>
      <c r="I123" s="700"/>
      <c r="J123" s="700"/>
      <c r="K123" s="700"/>
      <c r="L123" s="701"/>
    </row>
    <row r="124" spans="2:12">
      <c r="B124" s="141"/>
      <c r="C124" s="142"/>
      <c r="D124" s="142"/>
      <c r="E124" s="142"/>
      <c r="F124" s="142"/>
      <c r="H124" s="1914"/>
      <c r="I124" s="1914"/>
      <c r="J124" s="1914"/>
      <c r="K124" s="1914"/>
      <c r="L124" s="1915"/>
    </row>
    <row r="125" spans="2:12" ht="13" thickBot="1">
      <c r="B125" s="243" t="str">
        <f>'1FComprador'!B63:C63</f>
        <v>Contratada :</v>
      </c>
      <c r="C125" s="1919" t="str">
        <f>'1FComprador'!D63</f>
        <v>Razão Social da Loja</v>
      </c>
      <c r="D125" s="1919"/>
      <c r="E125" s="1919"/>
      <c r="F125" s="1919"/>
      <c r="G125" s="244"/>
      <c r="H125" s="244" t="str">
        <f>'1FComprador'!H63</f>
        <v>Contratante:</v>
      </c>
      <c r="I125" s="1917" t="str">
        <f>IF('1FComprador'!D12&lt;&gt;"",'1FComprador'!D12,"")</f>
        <v/>
      </c>
      <c r="J125" s="1917"/>
      <c r="K125" s="1917"/>
      <c r="L125" s="1918"/>
    </row>
    <row r="126" spans="2:12">
      <c r="B126" s="384" t="s">
        <v>453</v>
      </c>
      <c r="C126" s="384"/>
      <c r="D126" s="342"/>
      <c r="G126" s="117" t="s">
        <v>456</v>
      </c>
      <c r="H126" s="1916" t="str">
        <f>'0F Lj'!D80</f>
        <v xml:space="preserve"> Sistema ByDesigner Desenvolvido Neri (21) 97014-2420</v>
      </c>
      <c r="I126" s="1916"/>
      <c r="J126" s="1916"/>
      <c r="K126" s="1916"/>
      <c r="L126" s="1916"/>
    </row>
    <row r="127" spans="2:12">
      <c r="B127" s="117"/>
      <c r="C127" s="117"/>
      <c r="D127" s="117"/>
    </row>
  </sheetData>
  <sheetProtection algorithmName="SHA-512" hashValue="2nEJmB8BL993CMmU7PLQAXnqGsrw04se0iyDGJBUyo9uuK9KGw7qUSSqID0hOlsb73pRR0ttL0cfgJkOk21ZrQ==" saltValue="oB+vkUqKP92TnKvsx08OsQ==" spinCount="100000" sheet="1" objects="1" scenarios="1"/>
  <mergeCells count="57">
    <mergeCell ref="B4:D4"/>
    <mergeCell ref="E4:J4"/>
    <mergeCell ref="K4:L4"/>
    <mergeCell ref="B2:J2"/>
    <mergeCell ref="K2:L2"/>
    <mergeCell ref="B3:D3"/>
    <mergeCell ref="E3:J3"/>
    <mergeCell ref="K3:L3"/>
    <mergeCell ref="B5:D5"/>
    <mergeCell ref="E5:G5"/>
    <mergeCell ref="H5:J5"/>
    <mergeCell ref="K5:L5"/>
    <mergeCell ref="B6:D6"/>
    <mergeCell ref="E6:J6"/>
    <mergeCell ref="K6:L6"/>
    <mergeCell ref="B7:D7"/>
    <mergeCell ref="K7:L7"/>
    <mergeCell ref="B8:D8"/>
    <mergeCell ref="E8:J8"/>
    <mergeCell ref="E7:G7"/>
    <mergeCell ref="H7:J7"/>
    <mergeCell ref="B67:D67"/>
    <mergeCell ref="E67:J67"/>
    <mergeCell ref="K67:L67"/>
    <mergeCell ref="B9:D9"/>
    <mergeCell ref="E9:J9"/>
    <mergeCell ref="K9:L9"/>
    <mergeCell ref="B11:L11"/>
    <mergeCell ref="B12:L61"/>
    <mergeCell ref="B65:J65"/>
    <mergeCell ref="K65:L65"/>
    <mergeCell ref="B66:D66"/>
    <mergeCell ref="E66:J66"/>
    <mergeCell ref="K66:L66"/>
    <mergeCell ref="H62:L62"/>
    <mergeCell ref="B68:D68"/>
    <mergeCell ref="E68:G68"/>
    <mergeCell ref="H68:J68"/>
    <mergeCell ref="K68:L68"/>
    <mergeCell ref="B69:D69"/>
    <mergeCell ref="E69:J69"/>
    <mergeCell ref="K69:L69"/>
    <mergeCell ref="B70:D70"/>
    <mergeCell ref="K70:L70"/>
    <mergeCell ref="B71:D71"/>
    <mergeCell ref="E71:J71"/>
    <mergeCell ref="E70:G70"/>
    <mergeCell ref="H70:J70"/>
    <mergeCell ref="H124:L124"/>
    <mergeCell ref="H126:L126"/>
    <mergeCell ref="I125:L125"/>
    <mergeCell ref="C125:F125"/>
    <mergeCell ref="B72:D72"/>
    <mergeCell ref="E72:J72"/>
    <mergeCell ref="K72:L72"/>
    <mergeCell ref="B73:L120"/>
    <mergeCell ref="H122:L122"/>
  </mergeCells>
  <pageMargins left="0.59055118110236227" right="0.11811023622047245" top="0.39370078740157483" bottom="0.19685039370078741" header="0.31496062992125984" footer="0.31496062992125984"/>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8">
    <tabColor rgb="FFFF0000"/>
  </sheetPr>
  <dimension ref="B1:K53"/>
  <sheetViews>
    <sheetView showGridLines="0" zoomScaleNormal="100" workbookViewId="0">
      <selection activeCell="E48" sqref="E48:G48"/>
    </sheetView>
  </sheetViews>
  <sheetFormatPr defaultColWidth="9.1796875" defaultRowHeight="12.5"/>
  <cols>
    <col min="1" max="1" width="1.1796875" style="3" customWidth="1"/>
    <col min="2" max="2" width="12.453125" style="3" customWidth="1"/>
    <col min="3" max="3" width="27.26953125" style="3" customWidth="1"/>
    <col min="4" max="4" width="12.81640625" style="218" bestFit="1" customWidth="1"/>
    <col min="5" max="5" width="15.81640625" style="3" customWidth="1"/>
    <col min="6" max="6" width="15" style="3" customWidth="1"/>
    <col min="7" max="7" width="15.81640625" style="3" customWidth="1"/>
    <col min="8" max="16384" width="9.1796875" style="3"/>
  </cols>
  <sheetData>
    <row r="1" spans="2:11" ht="13" thickBot="1"/>
    <row r="2" spans="2:11" ht="18" thickBot="1">
      <c r="B2" s="1937" t="str">
        <f>'0F Lj'!D12</f>
        <v>Razão Social da Loja</v>
      </c>
      <c r="C2" s="1938"/>
      <c r="D2" s="1938"/>
      <c r="E2" s="1939"/>
      <c r="F2" s="702" t="s">
        <v>457</v>
      </c>
      <c r="G2" s="219">
        <f ca="1">TODAY()</f>
        <v>46153</v>
      </c>
      <c r="J2" s="218"/>
    </row>
    <row r="3" spans="2:11" ht="13" thickBot="1">
      <c r="K3" s="22"/>
    </row>
    <row r="4" spans="2:11" ht="18" thickBot="1">
      <c r="B4" s="1937" t="s">
        <v>458</v>
      </c>
      <c r="C4" s="1938"/>
      <c r="D4" s="1938"/>
      <c r="E4" s="1939"/>
      <c r="F4" s="1945" t="str">
        <f>'1FComprador'!B9</f>
        <v>Vendedor 1</v>
      </c>
      <c r="G4" s="1939"/>
      <c r="J4" s="218"/>
    </row>
    <row r="5" spans="2:11">
      <c r="K5" s="22"/>
    </row>
    <row r="6" spans="2:11" s="218" customFormat="1" ht="15.5">
      <c r="B6" s="220" t="s">
        <v>459</v>
      </c>
      <c r="C6" s="221" t="s">
        <v>460</v>
      </c>
      <c r="D6" s="220" t="s">
        <v>461</v>
      </c>
      <c r="E6" s="220" t="s">
        <v>462</v>
      </c>
      <c r="F6" s="220" t="s">
        <v>463</v>
      </c>
      <c r="G6" s="220" t="s">
        <v>464</v>
      </c>
      <c r="J6" s="222"/>
    </row>
    <row r="7" spans="2:11" ht="15.5">
      <c r="B7" s="223">
        <v>45748</v>
      </c>
      <c r="C7" s="224" t="s">
        <v>465</v>
      </c>
      <c r="D7" s="225" t="s">
        <v>466</v>
      </c>
      <c r="E7" s="226">
        <f>'14 Pers.'!R14</f>
        <v>26500</v>
      </c>
      <c r="F7" s="226">
        <f>E7</f>
        <v>26500</v>
      </c>
      <c r="G7" s="226">
        <f>E7-F7</f>
        <v>0</v>
      </c>
      <c r="I7" s="227"/>
    </row>
    <row r="8" spans="2:11" ht="15.5">
      <c r="B8" s="223">
        <v>45752</v>
      </c>
      <c r="C8" s="224" t="s">
        <v>467</v>
      </c>
      <c r="D8" s="225"/>
      <c r="E8" s="226">
        <v>45000</v>
      </c>
      <c r="F8" s="226"/>
      <c r="G8" s="226">
        <f>G7+E8-F8</f>
        <v>45000</v>
      </c>
    </row>
    <row r="9" spans="2:11" ht="15.5">
      <c r="B9" s="223"/>
      <c r="C9" s="228"/>
      <c r="D9" s="225"/>
      <c r="E9" s="226"/>
      <c r="F9" s="226"/>
      <c r="G9" s="226"/>
    </row>
    <row r="10" spans="2:11" ht="15.5">
      <c r="B10" s="223"/>
      <c r="C10" s="224"/>
      <c r="D10" s="225"/>
      <c r="E10" s="226"/>
      <c r="F10" s="226"/>
      <c r="G10" s="226"/>
    </row>
    <row r="11" spans="2:11" ht="15.5">
      <c r="B11" s="223"/>
      <c r="C11" s="224"/>
      <c r="D11" s="225"/>
      <c r="E11" s="226"/>
      <c r="F11" s="226"/>
      <c r="G11" s="226"/>
    </row>
    <row r="12" spans="2:11" ht="15.5">
      <c r="B12" s="223"/>
      <c r="C12" s="229"/>
      <c r="D12" s="230"/>
      <c r="E12" s="226"/>
      <c r="F12" s="226"/>
      <c r="G12" s="226"/>
    </row>
    <row r="13" spans="2:11" ht="15.5">
      <c r="B13" s="223"/>
      <c r="C13" s="231"/>
      <c r="D13" s="232"/>
      <c r="E13" s="226"/>
      <c r="F13" s="226"/>
      <c r="G13" s="226"/>
    </row>
    <row r="14" spans="2:11" ht="15.5">
      <c r="B14" s="223"/>
      <c r="C14" s="233"/>
      <c r="D14" s="234"/>
      <c r="E14" s="226"/>
      <c r="F14" s="226"/>
      <c r="G14" s="226"/>
    </row>
    <row r="15" spans="2:11" ht="15.5">
      <c r="B15" s="223"/>
      <c r="C15" s="224"/>
      <c r="D15" s="225"/>
      <c r="E15" s="226"/>
      <c r="F15" s="226"/>
      <c r="G15" s="226"/>
    </row>
    <row r="16" spans="2:11" ht="15.5">
      <c r="B16" s="223"/>
      <c r="C16" s="224"/>
      <c r="D16" s="225"/>
      <c r="E16" s="226"/>
      <c r="F16" s="226"/>
      <c r="G16" s="226"/>
    </row>
    <row r="17" spans="2:7" ht="15.5">
      <c r="B17" s="223"/>
      <c r="C17" s="224"/>
      <c r="D17" s="225"/>
      <c r="E17" s="226"/>
      <c r="F17" s="226"/>
      <c r="G17" s="226"/>
    </row>
    <row r="18" spans="2:7" ht="15.5">
      <c r="B18" s="223"/>
      <c r="C18" s="224"/>
      <c r="D18" s="225"/>
      <c r="E18" s="226"/>
      <c r="F18" s="226"/>
      <c r="G18" s="226"/>
    </row>
    <row r="19" spans="2:7" ht="15.5">
      <c r="B19" s="223"/>
      <c r="C19" s="224"/>
      <c r="D19" s="225"/>
      <c r="E19" s="226"/>
      <c r="F19" s="226"/>
      <c r="G19" s="226"/>
    </row>
    <row r="20" spans="2:7" ht="15.5">
      <c r="B20" s="223"/>
      <c r="C20" s="224"/>
      <c r="D20" s="225"/>
      <c r="E20" s="226"/>
      <c r="F20" s="226"/>
      <c r="G20" s="226"/>
    </row>
    <row r="21" spans="2:7" ht="15.5">
      <c r="B21" s="223"/>
      <c r="C21" s="224"/>
      <c r="D21" s="225"/>
      <c r="E21" s="226"/>
      <c r="F21" s="226"/>
      <c r="G21" s="226"/>
    </row>
    <row r="22" spans="2:7" ht="15.5">
      <c r="B22" s="223"/>
      <c r="C22" s="224"/>
      <c r="D22" s="225"/>
      <c r="E22" s="226"/>
      <c r="F22" s="226"/>
      <c r="G22" s="226"/>
    </row>
    <row r="23" spans="2:7" ht="15.5">
      <c r="B23" s="223"/>
      <c r="C23" s="224"/>
      <c r="D23" s="225"/>
      <c r="E23" s="226"/>
      <c r="F23" s="226"/>
      <c r="G23" s="226"/>
    </row>
    <row r="24" spans="2:7" ht="15.5">
      <c r="B24" s="223"/>
      <c r="C24" s="224"/>
      <c r="D24" s="225"/>
      <c r="E24" s="226"/>
      <c r="F24" s="226"/>
      <c r="G24" s="226"/>
    </row>
    <row r="25" spans="2:7" ht="15.5">
      <c r="B25" s="223"/>
      <c r="C25" s="224"/>
      <c r="D25" s="225"/>
      <c r="E25" s="226"/>
      <c r="F25" s="226"/>
      <c r="G25" s="226"/>
    </row>
    <row r="26" spans="2:7" ht="15.5">
      <c r="B26" s="223"/>
      <c r="C26" s="224"/>
      <c r="D26" s="225"/>
      <c r="E26" s="226"/>
      <c r="F26" s="226"/>
      <c r="G26" s="226"/>
    </row>
    <row r="27" spans="2:7" ht="15.5">
      <c r="B27" s="223"/>
      <c r="C27" s="224"/>
      <c r="D27" s="225"/>
      <c r="E27" s="226"/>
      <c r="F27" s="226"/>
      <c r="G27" s="226"/>
    </row>
    <row r="28" spans="2:7" ht="15.5">
      <c r="B28" s="223"/>
      <c r="C28" s="224"/>
      <c r="D28" s="225"/>
      <c r="E28" s="226"/>
      <c r="F28" s="226"/>
      <c r="G28" s="226"/>
    </row>
    <row r="29" spans="2:7" ht="15.5">
      <c r="B29" s="223"/>
      <c r="C29" s="224"/>
      <c r="D29" s="225"/>
      <c r="E29" s="226"/>
      <c r="F29" s="226"/>
      <c r="G29" s="226"/>
    </row>
    <row r="30" spans="2:7" ht="15.5">
      <c r="B30" s="223"/>
      <c r="C30" s="231"/>
      <c r="D30" s="232"/>
      <c r="E30" s="226"/>
      <c r="F30" s="226"/>
      <c r="G30" s="226"/>
    </row>
    <row r="31" spans="2:7" ht="15.5">
      <c r="B31" s="223"/>
      <c r="C31" s="224"/>
      <c r="D31" s="225"/>
      <c r="E31" s="226"/>
      <c r="F31" s="226"/>
      <c r="G31" s="226"/>
    </row>
    <row r="32" spans="2:7" ht="15.5">
      <c r="B32" s="223"/>
      <c r="C32" s="224"/>
      <c r="D32" s="225"/>
      <c r="E32" s="226"/>
      <c r="F32" s="226"/>
      <c r="G32" s="226"/>
    </row>
    <row r="33" spans="2:7" ht="15.5">
      <c r="B33" s="223"/>
      <c r="C33" s="224"/>
      <c r="D33" s="225"/>
      <c r="E33" s="226"/>
      <c r="F33" s="226"/>
      <c r="G33" s="226"/>
    </row>
    <row r="34" spans="2:7" ht="15.5">
      <c r="B34" s="223"/>
      <c r="C34" s="224"/>
      <c r="D34" s="225"/>
      <c r="E34" s="226"/>
      <c r="F34" s="226"/>
      <c r="G34" s="226"/>
    </row>
    <row r="35" spans="2:7" ht="15.5">
      <c r="B35" s="223"/>
      <c r="C35" s="224"/>
      <c r="D35" s="225"/>
      <c r="E35" s="226"/>
      <c r="F35" s="226"/>
      <c r="G35" s="226"/>
    </row>
    <row r="36" spans="2:7" ht="15.5">
      <c r="B36" s="223"/>
      <c r="C36" s="224"/>
      <c r="D36" s="225"/>
      <c r="E36" s="226"/>
      <c r="F36" s="226"/>
      <c r="G36" s="226"/>
    </row>
    <row r="37" spans="2:7" ht="15.5">
      <c r="B37" s="223"/>
      <c r="C37" s="231"/>
      <c r="D37" s="232"/>
      <c r="E37" s="226"/>
      <c r="F37" s="226"/>
      <c r="G37" s="226"/>
    </row>
    <row r="38" spans="2:7" ht="15.5">
      <c r="B38" s="223"/>
      <c r="C38" s="233"/>
      <c r="D38" s="234"/>
      <c r="E38" s="226"/>
      <c r="F38" s="226"/>
      <c r="G38" s="226"/>
    </row>
    <row r="39" spans="2:7" ht="15.5">
      <c r="B39" s="223"/>
      <c r="C39" s="224"/>
      <c r="D39" s="225"/>
      <c r="E39" s="226"/>
      <c r="F39" s="226"/>
      <c r="G39" s="226"/>
    </row>
    <row r="40" spans="2:7" ht="15.5">
      <c r="B40" s="223"/>
      <c r="C40" s="224"/>
      <c r="D40" s="225"/>
      <c r="E40" s="226"/>
      <c r="F40" s="226"/>
      <c r="G40" s="226"/>
    </row>
    <row r="41" spans="2:7" ht="15.5">
      <c r="B41" s="223"/>
      <c r="C41" s="224"/>
      <c r="D41" s="225"/>
      <c r="E41" s="226"/>
      <c r="F41" s="226"/>
      <c r="G41" s="226"/>
    </row>
    <row r="42" spans="2:7" ht="15.5">
      <c r="B42" s="223"/>
      <c r="C42" s="224"/>
      <c r="D42" s="225"/>
      <c r="E42" s="226"/>
      <c r="F42" s="226"/>
      <c r="G42" s="226"/>
    </row>
    <row r="43" spans="2:7" ht="15.5">
      <c r="B43" s="223"/>
      <c r="C43" s="224"/>
      <c r="D43" s="225"/>
      <c r="E43" s="226"/>
      <c r="F43" s="226"/>
      <c r="G43" s="226"/>
    </row>
    <row r="44" spans="2:7" ht="15.5">
      <c r="B44" s="223"/>
      <c r="C44" s="231"/>
      <c r="D44" s="232"/>
      <c r="E44" s="226"/>
      <c r="F44" s="226"/>
      <c r="G44" s="226"/>
    </row>
    <row r="45" spans="2:7" ht="15.5">
      <c r="B45" s="1944" t="s">
        <v>468</v>
      </c>
      <c r="C45" s="1943"/>
      <c r="D45" s="235"/>
      <c r="E45" s="236">
        <f>SUM(E7:E44)</f>
        <v>71500</v>
      </c>
      <c r="F45" s="236">
        <f>SUM(F7:F44)</f>
        <v>26500</v>
      </c>
      <c r="G45" s="236">
        <f>E45-F45</f>
        <v>45000</v>
      </c>
    </row>
    <row r="46" spans="2:7" ht="15.5">
      <c r="B46" s="1946"/>
      <c r="C46" s="1947"/>
      <c r="D46" s="237"/>
      <c r="E46" s="238"/>
      <c r="F46" s="238"/>
      <c r="G46" s="238"/>
    </row>
    <row r="47" spans="2:7" ht="15.5">
      <c r="B47" s="1944" t="s">
        <v>469</v>
      </c>
      <c r="C47" s="1943"/>
      <c r="D47" s="239"/>
      <c r="E47" s="1941">
        <f>F45</f>
        <v>26500</v>
      </c>
      <c r="F47" s="1942"/>
      <c r="G47" s="1943"/>
    </row>
    <row r="48" spans="2:7" s="21" customFormat="1" ht="12.75" customHeight="1">
      <c r="B48" s="1940" t="s">
        <v>470</v>
      </c>
      <c r="C48" s="1940"/>
      <c r="D48" s="38" t="s">
        <v>121</v>
      </c>
      <c r="E48" s="1948" t="str">
        <f>'0F Lj'!D80</f>
        <v xml:space="preserve"> Sistema ByDesigner Desenvolvido Neri (21) 97014-2420</v>
      </c>
      <c r="F48" s="1948"/>
      <c r="G48" s="1948"/>
    </row>
    <row r="50" spans="2:7" ht="15.5">
      <c r="B50" s="240"/>
      <c r="C50" s="240"/>
      <c r="D50" s="241"/>
      <c r="E50" s="240"/>
      <c r="F50" s="240"/>
      <c r="G50" s="240"/>
    </row>
    <row r="51" spans="2:7" ht="15.5">
      <c r="B51" s="242"/>
      <c r="C51" s="242"/>
      <c r="D51" s="241"/>
      <c r="E51" s="242"/>
      <c r="F51" s="242"/>
      <c r="G51" s="242"/>
    </row>
    <row r="52" spans="2:7" ht="15.5">
      <c r="B52" s="240"/>
      <c r="C52" s="240"/>
      <c r="D52" s="241"/>
      <c r="E52" s="240"/>
      <c r="F52" s="240"/>
      <c r="G52" s="240"/>
    </row>
    <row r="53" spans="2:7" ht="15.5">
      <c r="B53" s="240"/>
      <c r="C53" s="240"/>
      <c r="D53" s="241"/>
      <c r="E53" s="240"/>
      <c r="F53" s="240"/>
      <c r="G53" s="240"/>
    </row>
  </sheetData>
  <sheetProtection algorithmName="SHA-512" hashValue="MPtWoiBqiCYch4mhi1xHBD6HZ3EBWv6bIK1xRwgQ7UCYMzvSOqZjAK+VPiXzqR0EtezpxlVEwzGW/3nV5qo9Cg==" saltValue="rG2JiskOXi2tH9QUCEk7DA==" spinCount="100000" sheet="1" objects="1" scenarios="1"/>
  <mergeCells count="9">
    <mergeCell ref="B2:E2"/>
    <mergeCell ref="B48:C48"/>
    <mergeCell ref="E47:G47"/>
    <mergeCell ref="B47:C47"/>
    <mergeCell ref="B4:E4"/>
    <mergeCell ref="F4:G4"/>
    <mergeCell ref="B45:C45"/>
    <mergeCell ref="B46:C46"/>
    <mergeCell ref="E48:G48"/>
  </mergeCells>
  <pageMargins left="0.19685039370078741" right="0"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24</vt:i4>
      </vt:variant>
      <vt:variant>
        <vt:lpstr>Intervalos Nomeados</vt:lpstr>
      </vt:variant>
      <vt:variant>
        <vt:i4>51</vt:i4>
      </vt:variant>
    </vt:vector>
  </HeadingPairs>
  <TitlesOfParts>
    <vt:vector size="75" baseType="lpstr">
      <vt:lpstr>0F Lj</vt:lpstr>
      <vt:lpstr>1FComprador</vt:lpstr>
      <vt:lpstr>2F Técnica</vt:lpstr>
      <vt:lpstr>3Orçto</vt:lpstr>
      <vt:lpstr>3.1Impressão</vt:lpstr>
      <vt:lpstr>4Contrato Compra</vt:lpstr>
      <vt:lpstr>5CERTIFICADO</vt:lpstr>
      <vt:lpstr>6Manutençao Garantia</vt:lpstr>
      <vt:lpstr>7Mapa Orçamento</vt:lpstr>
      <vt:lpstr>14 Pers.</vt:lpstr>
      <vt:lpstr>8Resumo Venda</vt:lpstr>
      <vt:lpstr>9PG Projetista</vt:lpstr>
      <vt:lpstr>10Ficha montagem</vt:lpstr>
      <vt:lpstr>11PG Montador</vt:lpstr>
      <vt:lpstr>12 Controle Pedidos </vt:lpstr>
      <vt:lpstr>13 E-mail Compra Fabrica</vt:lpstr>
      <vt:lpstr>14 E-mail Transportadora</vt:lpstr>
      <vt:lpstr>15 Caixa Mês</vt:lpstr>
      <vt:lpstr>16 Caixa Ano</vt:lpstr>
      <vt:lpstr>17 Resumo do Sistema</vt:lpstr>
      <vt:lpstr>Listas</vt:lpstr>
      <vt:lpstr>Losango 30</vt:lpstr>
      <vt:lpstr>Losango 60</vt:lpstr>
      <vt:lpstr>Losango 90</vt:lpstr>
      <vt:lpstr>'1FComprador'!Area_de_impressao</vt:lpstr>
      <vt:lpstr>'2F Técnica'!Area_de_impressao</vt:lpstr>
      <vt:lpstr>'3.1Impressão'!Area_de_impressao</vt:lpstr>
      <vt:lpstr>'4Contrato Compra'!Area_de_impressao</vt:lpstr>
      <vt:lpstr>'6Manutençao Garantia'!Area_de_impressao</vt:lpstr>
      <vt:lpstr>consultor</vt:lpstr>
      <vt:lpstr>'1FComprador'!Contrato</vt:lpstr>
      <vt:lpstr>'3.1Impressão'!Contrato</vt:lpstr>
      <vt:lpstr>datacontrato</vt:lpstr>
      <vt:lpstr>'10Ficha montagem'!DataOrçamento</vt:lpstr>
      <vt:lpstr>'11PG Montador'!DataOrçamento</vt:lpstr>
      <vt:lpstr>'8Resumo Venda'!DataOrçamento</vt:lpstr>
      <vt:lpstr>'9PG Projetista'!DataOrçamento</vt:lpstr>
      <vt:lpstr>DataOrçamento</vt:lpstr>
      <vt:lpstr>'10Ficha montagem'!deconto2</vt:lpstr>
      <vt:lpstr>'11PG Montador'!deconto2</vt:lpstr>
      <vt:lpstr>'8Resumo Venda'!deconto2</vt:lpstr>
      <vt:lpstr>'9PG Projetista'!deconto2</vt:lpstr>
      <vt:lpstr>deconto2</vt:lpstr>
      <vt:lpstr>descadm</vt:lpstr>
      <vt:lpstr>'10Ficha montagem'!desconto1</vt:lpstr>
      <vt:lpstr>'11PG Montador'!desconto1</vt:lpstr>
      <vt:lpstr>'8Resumo Venda'!desconto1</vt:lpstr>
      <vt:lpstr>'9PG Projetista'!desconto1</vt:lpstr>
      <vt:lpstr>desconto1</vt:lpstr>
      <vt:lpstr>desconto2</vt:lpstr>
      <vt:lpstr>descvenda</vt:lpstr>
      <vt:lpstr>'3.1Impressão'!entrega2</vt:lpstr>
      <vt:lpstr>entrega2</vt:lpstr>
      <vt:lpstr>fabricante</vt:lpstr>
      <vt:lpstr>'Losango 30'!fator</vt:lpstr>
      <vt:lpstr>'Losango 60'!fator</vt:lpstr>
      <vt:lpstr>'Losango 90'!fator</vt:lpstr>
      <vt:lpstr>garantia</vt:lpstr>
      <vt:lpstr>idcartao</vt:lpstr>
      <vt:lpstr>'1FComprador'!Loja</vt:lpstr>
      <vt:lpstr>'3.1Impressão'!Loja</vt:lpstr>
      <vt:lpstr>mercadorias</vt:lpstr>
      <vt:lpstr>nomevendedor</vt:lpstr>
      <vt:lpstr>Parcelamentos</vt:lpstr>
      <vt:lpstr>'10Ficha montagem'!Validade</vt:lpstr>
      <vt:lpstr>'11PG Montador'!Validade</vt:lpstr>
      <vt:lpstr>'8Resumo Venda'!Validade</vt:lpstr>
      <vt:lpstr>'9PG Projetista'!Validade</vt:lpstr>
      <vt:lpstr>Validade</vt:lpstr>
      <vt:lpstr>vendas</vt:lpstr>
      <vt:lpstr>vendedor</vt:lpstr>
      <vt:lpstr>'10Ficha montagem'!Vendedor1</vt:lpstr>
      <vt:lpstr>'11PG Montador'!Vendedor1</vt:lpstr>
      <vt:lpstr>'8Resumo Venda'!Vendedor1</vt:lpstr>
      <vt:lpstr>'9PG Projetista'!Vendedor1</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Neri</dc:creator>
  <cp:keywords/>
  <dc:description/>
  <cp:lastModifiedBy>shopmoveis carrara</cp:lastModifiedBy>
  <cp:revision/>
  <dcterms:created xsi:type="dcterms:W3CDTF">2009-11-25T19:25:39Z</dcterms:created>
  <dcterms:modified xsi:type="dcterms:W3CDTF">2026-05-11T19:07:06Z</dcterms:modified>
  <cp:category/>
  <cp:contentStatus/>
</cp:coreProperties>
</file>